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firstSheet="3" activeTab="9"/>
  </bookViews>
  <sheets>
    <sheet name="2000" sheetId="1" r:id="rId1"/>
    <sheet name="2004" sheetId="2" r:id="rId2"/>
    <sheet name="2008 Totals" sheetId="3" r:id="rId3"/>
    <sheet name="2008 %" sheetId="4" r:id="rId4"/>
    <sheet name="2011 Totals" sheetId="5" r:id="rId5"/>
    <sheet name="2011 %" sheetId="6" r:id="rId6"/>
    <sheet name="2015 Totals" sheetId="7" r:id="rId7"/>
    <sheet name="2015 % " sheetId="8" r:id="rId8"/>
    <sheet name="Senat 2015" sheetId="9" r:id="rId9"/>
    <sheet name="2016 Totals" sheetId="10" r:id="rId10"/>
    <sheet name="2016 % " sheetId="11" r:id="rId11"/>
    <sheet name="Senat 2016" sheetId="12" r:id="rId12"/>
  </sheets>
  <externalReferences>
    <externalReference r:id="rId15"/>
  </externalReferences>
  <definedNames>
    <definedName name="_xlnm.Print_Area" localSheetId="0">'2000'!$B$1:$AC$38</definedName>
    <definedName name="_xlnm.Print_Area" localSheetId="1">'2004'!$B$1:$AB$37</definedName>
    <definedName name="_xlnm.Print_Area" localSheetId="3">'2008 %'!$B$1:$AH$58</definedName>
    <definedName name="_xlnm.Print_Area" localSheetId="2">'2008 Totals'!$A$1:$AH$56</definedName>
    <definedName name="_xlnm.Print_Area" localSheetId="5">'2011 %'!$B$1:$W$55</definedName>
    <definedName name="_xlnm.Print_Area" localSheetId="4">'2011 Totals'!$B$1:$W$53</definedName>
    <definedName name="_xlnm.Print_Area" localSheetId="7">'2015 % '!$B$1:$X$66</definedName>
    <definedName name="_xlnm.Print_Area" localSheetId="6">'2015 Totals'!$B$1:$X$64</definedName>
    <definedName name="_xlnm.Print_Area" localSheetId="10">'2016 % '!$A$1:$T$64</definedName>
    <definedName name="_xlnm.Print_Area" localSheetId="9">'2016 Totals'!$A$1:$T$61</definedName>
    <definedName name="_xlnm.Print_Area" localSheetId="8">'Senat 2015'!$A$1:$AU$59</definedName>
    <definedName name="_xlnm.Print_Area" localSheetId="11">'Senat 2016'!$A$1:$AU$45</definedName>
  </definedNames>
  <calcPr fullCalcOnLoad="1"/>
</workbook>
</file>

<file path=xl/sharedStrings.xml><?xml version="1.0" encoding="utf-8"?>
<sst xmlns="http://schemas.openxmlformats.org/spreadsheetml/2006/main" count="1500" uniqueCount="281">
  <si>
    <t>Dades oficials</t>
  </si>
  <si>
    <t>El Vendrell</t>
  </si>
  <si>
    <t>Eleccions Generals. Resultats per meses electorals. 12 de març de 2000</t>
  </si>
  <si>
    <t>Local</t>
  </si>
  <si>
    <t>Mesa</t>
  </si>
  <si>
    <t>CiU</t>
  </si>
  <si>
    <t>PSC</t>
  </si>
  <si>
    <t>PP</t>
  </si>
  <si>
    <t>PLN</t>
  </si>
  <si>
    <t>UC</t>
  </si>
  <si>
    <t>IC</t>
  </si>
  <si>
    <t>PNCA</t>
  </si>
  <si>
    <t>LI</t>
  </si>
  <si>
    <t>ERC</t>
  </si>
  <si>
    <t>GIL</t>
  </si>
  <si>
    <t>EVAV</t>
  </si>
  <si>
    <t>EC</t>
  </si>
  <si>
    <t>POSI</t>
  </si>
  <si>
    <t>PADE</t>
  </si>
  <si>
    <t>ES2000</t>
  </si>
  <si>
    <t>EUIA</t>
  </si>
  <si>
    <t>PDP</t>
  </si>
  <si>
    <t>IR</t>
  </si>
  <si>
    <t>PH</t>
  </si>
  <si>
    <t>FE</t>
  </si>
  <si>
    <t>NULS</t>
  </si>
  <si>
    <t>TOTAL</t>
  </si>
  <si>
    <t>BLANCS</t>
  </si>
  <si>
    <t xml:space="preserve">CÍVIC ESTACIÓ </t>
  </si>
  <si>
    <t xml:space="preserve">ESC. MÚSICA </t>
  </si>
  <si>
    <t xml:space="preserve">CASAL FAMILIAR </t>
  </si>
  <si>
    <t xml:space="preserve">COOP AGRÍCOLA </t>
  </si>
  <si>
    <t xml:space="preserve">CÍVIC L'ESTACIÓ </t>
  </si>
  <si>
    <t xml:space="preserve">JOVENTUT </t>
  </si>
  <si>
    <t xml:space="preserve">LA LIRA </t>
  </si>
  <si>
    <t xml:space="preserve">ELS SECALLETS </t>
  </si>
  <si>
    <t>L'EINA</t>
  </si>
  <si>
    <t xml:space="preserve">SAC </t>
  </si>
  <si>
    <t xml:space="preserve">L'EINA     </t>
  </si>
  <si>
    <t>A</t>
  </si>
  <si>
    <t>B</t>
  </si>
  <si>
    <t>U</t>
  </si>
  <si>
    <t>Cens</t>
  </si>
  <si>
    <t>TOTALS</t>
  </si>
  <si>
    <t>Distr</t>
  </si>
  <si>
    <t>Secc</t>
  </si>
  <si>
    <t>%</t>
  </si>
  <si>
    <t>Eleccions Generals. Resultats per meses electorals. Març de 2004</t>
  </si>
  <si>
    <t xml:space="preserve">Local </t>
  </si>
  <si>
    <t xml:space="preserve">Districte </t>
  </si>
  <si>
    <t xml:space="preserve">Seccio </t>
  </si>
  <si>
    <t xml:space="preserve">Mesa </t>
  </si>
  <si>
    <t xml:space="preserve">CIU </t>
  </si>
  <si>
    <t xml:space="preserve">PH </t>
  </si>
  <si>
    <t xml:space="preserve">CDS </t>
  </si>
  <si>
    <t xml:space="preserve">FEJONS </t>
  </si>
  <si>
    <t xml:space="preserve">ESPAÑA 2000 </t>
  </si>
  <si>
    <t xml:space="preserve">ICV-EUiA </t>
  </si>
  <si>
    <t xml:space="preserve">ERC </t>
  </si>
  <si>
    <t xml:space="preserve">(PSC-PSOE)-PM </t>
  </si>
  <si>
    <t xml:space="preserve">DN </t>
  </si>
  <si>
    <t xml:space="preserve">PCPC </t>
  </si>
  <si>
    <t xml:space="preserve">PNCA </t>
  </si>
  <si>
    <t xml:space="preserve">PARTIDO CARLIST </t>
  </si>
  <si>
    <t xml:space="preserve">EI-ADD </t>
  </si>
  <si>
    <t xml:space="preserve">PF I V </t>
  </si>
  <si>
    <t xml:space="preserve">LI (LIT-CI) </t>
  </si>
  <si>
    <t xml:space="preserve">POSI </t>
  </si>
  <si>
    <t xml:space="preserve">CIUDADANOS EN B </t>
  </si>
  <si>
    <t xml:space="preserve">EV-AE </t>
  </si>
  <si>
    <t xml:space="preserve">MSR </t>
  </si>
  <si>
    <t xml:space="preserve">FE </t>
  </si>
  <si>
    <t xml:space="preserve">IR-PRE </t>
  </si>
  <si>
    <t xml:space="preserve">PADE </t>
  </si>
  <si>
    <t xml:space="preserve">CENTRE CÍVIC ESTACIÓ </t>
  </si>
  <si>
    <t xml:space="preserve">A </t>
  </si>
  <si>
    <t xml:space="preserve">B </t>
  </si>
  <si>
    <t xml:space="preserve">ESCOLA DE MÚSICA </t>
  </si>
  <si>
    <t xml:space="preserve">U </t>
  </si>
  <si>
    <t xml:space="preserve">EDIFICI DE FÀTIMA </t>
  </si>
  <si>
    <t xml:space="preserve">ESCOLA ÀNGEL GUIMERÀ </t>
  </si>
  <si>
    <t xml:space="preserve">LIRA VENDRELLENCA </t>
  </si>
  <si>
    <t xml:space="preserve">HOTEL D'ENTITATS </t>
  </si>
  <si>
    <t xml:space="preserve">ESCOLA SECALLETS </t>
  </si>
  <si>
    <t xml:space="preserve">ESCOLA BRESSOL RALET RALET </t>
  </si>
  <si>
    <t xml:space="preserve">ESCOLA ÀNGELS GARRIGA </t>
  </si>
  <si>
    <t xml:space="preserve">ASSOCIACIÓ DE VEÏNS DE MAS D'EN GUAL </t>
  </si>
  <si>
    <t xml:space="preserve">ASSOCIACIÓ DE VEÏNS MAS D'EN GUALS </t>
  </si>
  <si>
    <t xml:space="preserve">VIL.LA CASALS </t>
  </si>
  <si>
    <t xml:space="preserve">Totals </t>
  </si>
  <si>
    <t xml:space="preserve">Font: Secretaria General de l'Ajuntament del Vendrell </t>
  </si>
  <si>
    <t>ESPLAI  DEL TÍVOLI</t>
  </si>
  <si>
    <t>C</t>
  </si>
  <si>
    <t>NENS DEL VENDRELL</t>
  </si>
  <si>
    <t>CASAL FAMILIAR</t>
  </si>
  <si>
    <t>CENTRE CÍVIC ESTACIÓ</t>
  </si>
  <si>
    <t>ESCOLA ÀNGEL GUIMERÀ</t>
  </si>
  <si>
    <t>LA LIRA VENDRELLENCA</t>
  </si>
  <si>
    <t>EDIFICI CAMÍ REIAL</t>
  </si>
  <si>
    <t>CENTRE CÍVIC DE COMA-RUGA</t>
  </si>
  <si>
    <t>ESPLAI DEL TANCAT</t>
  </si>
  <si>
    <t>ESCOLA ÀNGELS GARRIGA</t>
  </si>
  <si>
    <t>CENTRE CULTURAL GARCIA LORCA</t>
  </si>
  <si>
    <t>AUDITORI PAU CASALS</t>
  </si>
  <si>
    <t>CIU</t>
  </si>
  <si>
    <t>P.A.C.M.A</t>
  </si>
  <si>
    <t>ICV-EUIA</t>
  </si>
  <si>
    <t>PUM+J</t>
  </si>
  <si>
    <t>RC</t>
  </si>
  <si>
    <t>PSC-PSOE</t>
  </si>
  <si>
    <t>PCPC</t>
  </si>
  <si>
    <t>EI</t>
  </si>
  <si>
    <t>PxCat</t>
  </si>
  <si>
    <t>esquerra</t>
  </si>
  <si>
    <t>FE de las JONS</t>
  </si>
  <si>
    <t>DN</t>
  </si>
  <si>
    <t>AMD</t>
  </si>
  <si>
    <t>PSD</t>
  </si>
  <si>
    <t>UPyD</t>
  </si>
  <si>
    <t>AuN</t>
  </si>
  <si>
    <t>PCC</t>
  </si>
  <si>
    <t>PFyV</t>
  </si>
  <si>
    <t>AES</t>
  </si>
  <si>
    <t>N som</t>
  </si>
  <si>
    <t>FL</t>
  </si>
  <si>
    <t>LI(LIT-CI)</t>
  </si>
  <si>
    <t>IR-PRE</t>
  </si>
  <si>
    <t>E2</t>
  </si>
  <si>
    <t>C´S</t>
  </si>
  <si>
    <t>CONVERGÈNCIA I UNIÓ</t>
  </si>
  <si>
    <t>PARTIT HUMANISTA</t>
  </si>
  <si>
    <t>PARTIT OBRER SOCIALISTA INTERNACIONALISTA</t>
  </si>
  <si>
    <t>PARTIT ANTITAURÍ CONTRA EL MALTRACTAMENT ANIMAL</t>
  </si>
  <si>
    <t>POR UN MUNDO MAS JUSTO</t>
  </si>
  <si>
    <t>PARTIT REPUBLICÀ CATALÀ</t>
  </si>
  <si>
    <t>PARTIDO POLPULAR/PARTIT POPULAR</t>
  </si>
  <si>
    <t>PARTIT DELS SOCIALISTES DE CATALUNYA</t>
  </si>
  <si>
    <t>PARTIDO COMUNISTA DEL PUEBLO DE CATALUÑA</t>
  </si>
  <si>
    <t>PARTIT PER CATALUNYA</t>
  </si>
  <si>
    <t>ESQUERRA REPUBLICANA DE CATALUNYA</t>
  </si>
  <si>
    <t>FALANGE ESPAÑOLA DE LAS JONS</t>
  </si>
  <si>
    <t>DEMOCRACIA NACIONAL</t>
  </si>
  <si>
    <t>ALTERNATIVA MOTOR Y DEPORTES</t>
  </si>
  <si>
    <t>PARTIDO SOCIAL DEMOCRATA</t>
  </si>
  <si>
    <t>UNION PROGRESO Y DEMOCRACIA</t>
  </si>
  <si>
    <t>ALIANZA NACIONAL</t>
  </si>
  <si>
    <t>PARTIT CARLÍ DE CATALUNYA</t>
  </si>
  <si>
    <t>FAMILIA Y VIDA</t>
  </si>
  <si>
    <t>ALTERNATIVA ESPAÑOLA</t>
  </si>
  <si>
    <t>NOSALTRES SOM</t>
  </si>
  <si>
    <t>FALANGUE AUTENTICA</t>
  </si>
  <si>
    <t>LLUITA INTERNACIONALISTA</t>
  </si>
  <si>
    <t>ESPAÑA 2000</t>
  </si>
  <si>
    <t>CIUTADANS-PARTIDO DE LA CIUDADANIA</t>
  </si>
  <si>
    <t>Eleccions Generals. Resultats per meses electorals. Març de 2008</t>
  </si>
  <si>
    <t>Total</t>
  </si>
  <si>
    <t xml:space="preserve">Secció </t>
  </si>
  <si>
    <t>*Nomenclator:</t>
  </si>
  <si>
    <t>INICIATIVA PER CATALUNYA VERDS-ESQUERRA UNIDA I ALTERNATIVA</t>
  </si>
  <si>
    <t>EI ESCONS INSUBMISOS-ALTERNATIVA DELS DEMÒCRATES</t>
  </si>
  <si>
    <t>PARTIDO IZQUIERDA REPUBLICANA-PARTIT REPUBLICÀ D'ESQUERRA</t>
  </si>
  <si>
    <t>Totals %</t>
  </si>
  <si>
    <r>
      <t>*</t>
    </r>
    <r>
      <rPr>
        <sz val="10"/>
        <rFont val="Verdana"/>
        <family val="2"/>
      </rPr>
      <t>Els nombres de % en color negre representen el tant per cent de vots obtinguts pels partits polítics en cada mesa electoral</t>
    </r>
  </si>
  <si>
    <r>
      <t>**</t>
    </r>
    <r>
      <rPr>
        <sz val="10"/>
        <rFont val="Verdana"/>
        <family val="2"/>
      </rPr>
      <t>Els nombres de % en color blau representen el tant per cent de vots emesos totals en correspondència amb la participació electoral</t>
    </r>
  </si>
  <si>
    <t>Dades oficials (percentatges)</t>
  </si>
  <si>
    <t>Eleccions Generals. Resultats per meses electorals. Novembre de 2011</t>
  </si>
  <si>
    <t>ESPLAI DEL TÍVOLI</t>
  </si>
  <si>
    <t>EDIFICI SERVEIS SOCIALS MUNICIPALS</t>
  </si>
  <si>
    <t>CENTRE CIVIC L'ESTACIO</t>
  </si>
  <si>
    <t>CENTRE CIVIC DE COMA-RUGA</t>
  </si>
  <si>
    <t>ESCOLA SECALLETS</t>
  </si>
  <si>
    <t>ESQUERRA REPUBLICANA DE CATALUNYA-CATALUNYA SI</t>
  </si>
  <si>
    <t>PSC(PSC-PSOE)</t>
  </si>
  <si>
    <t>ERC-RI.cat</t>
  </si>
  <si>
    <t>Eb</t>
  </si>
  <si>
    <t>PXC</t>
  </si>
  <si>
    <t>PIRATA.CAT</t>
  </si>
  <si>
    <t>PACMA</t>
  </si>
  <si>
    <t>UCE</t>
  </si>
  <si>
    <t>PRE-R</t>
  </si>
  <si>
    <t>HARTOS.ORG</t>
  </si>
  <si>
    <t>ANTICAPITALISTES</t>
  </si>
  <si>
    <t>ESCONS EN BLANC</t>
  </si>
  <si>
    <t>PLATAFORMA PER CATALUNYA</t>
  </si>
  <si>
    <t>PARTIT COMUNISTA DEL POBLE DE CATALUNYA</t>
  </si>
  <si>
    <t>PIRATES DE CATALUNYA</t>
  </si>
  <si>
    <t>UNIÓN PROGRESO Y DEMOCRACIA</t>
  </si>
  <si>
    <t>PARTIDO POPULAR</t>
  </si>
  <si>
    <t>PARTIDO ANIMALISTA CONTRA EL MALTRATO ANIMAL</t>
  </si>
  <si>
    <t>UNIFICACIÓN COMUNISTA DE ESPAÑA</t>
  </si>
  <si>
    <t>PARTIT REPUBLICÀ D'ESQUERRA-REPUBLICANS</t>
  </si>
  <si>
    <t>Districte</t>
  </si>
  <si>
    <t>Secció</t>
  </si>
  <si>
    <t>Taula</t>
  </si>
  <si>
    <t>JOAN SABATÉ BORRÀS</t>
  </si>
  <si>
    <t>VOTS EN BLANC</t>
  </si>
  <si>
    <t>VOTS NULS</t>
  </si>
  <si>
    <t>% PARTICIPACIÓ</t>
  </si>
  <si>
    <t>DEMOCRÀCIA I LLIBERTAT. CONVERGÈNCIA. DEMÒCRATES. REAGRUPAMENT (DL)</t>
  </si>
  <si>
    <t>CARLES PELLICER PUNYED</t>
  </si>
  <si>
    <t>ANNABEL MARCOS VILAR</t>
  </si>
  <si>
    <t>JOAN MARIA BASORA ROBERT</t>
  </si>
  <si>
    <t>CARLOS JAVIER CALDERON I AISA</t>
  </si>
  <si>
    <t>ANTONI VICENTE POLO I MOYA</t>
  </si>
  <si>
    <t>NÚRIA CRIVILLÉ I MIRÓ</t>
  </si>
  <si>
    <t>UNIÓ DEMOCRÀTICA DE CATALUNYA (Unió.Cat )</t>
  </si>
  <si>
    <t>PARTIT DELS SOCIALISTES DE CATALUNYA (PSC-PSOE) (PSC)</t>
  </si>
  <si>
    <t>MARIA JESÚS SEQUERA GARCIA</t>
  </si>
  <si>
    <t>JOSEP FÈLIX BALLESTEROS CASANOVA</t>
  </si>
  <si>
    <t>EN COMÚ PODEM (EN COMÚ)</t>
  </si>
  <si>
    <t>CELIA CÁNOVAS ESSARD</t>
  </si>
  <si>
    <t>INMACULADA SÁNCHEZ FERNÁNDEZ</t>
  </si>
  <si>
    <t>RICARDO REDONDO MOLTÓ</t>
  </si>
  <si>
    <t>PARTIDO POPULAR (PP)</t>
  </si>
  <si>
    <t>SEBASTIA DOMÈNECH BOSCH</t>
  </si>
  <si>
    <t>JOSÉ JUAN ACERO DE DIOS</t>
  </si>
  <si>
    <t>NÚRIA GÓMEZ GRANÉS</t>
  </si>
  <si>
    <t>ESQUERRA REPUBLICANA DE CATALUNYA-CATALUNYA SÍ (ERC-CATSI)</t>
  </si>
  <si>
    <t>MIQUEL AUBÀ I FLEIX</t>
  </si>
  <si>
    <t>JOSEP RUFÀ I GRÀCIA</t>
  </si>
  <si>
    <t>LAURA CASTEL I FORT</t>
  </si>
  <si>
    <t>ESCONS EN BLANC/ESCAÑOS EN BLANCO (EB)</t>
  </si>
  <si>
    <t>CONXITA BENITO GIMÉNEZ</t>
  </si>
  <si>
    <t>ENRIC RECHE GABARRÓN</t>
  </si>
  <si>
    <t>PRUDENCI LÓPEZ GALAN</t>
  </si>
  <si>
    <t>PARTIDO ANIMALISTA CONTRA EL MALTRATO ANIMAL (PACMA)</t>
  </si>
  <si>
    <t>LAURA GARCÍA HIPÓLITO</t>
  </si>
  <si>
    <t>ALEJANDRO FERNÁNDEZ PARDO</t>
  </si>
  <si>
    <t>SANDRA JANNETH DÍAZ RAMOS</t>
  </si>
  <si>
    <t>UNIÓN PROGRESO Y DEMOCRACIA (UPyD)</t>
  </si>
  <si>
    <t>JUAN ANTONIO NAVARRO ZORITA</t>
  </si>
  <si>
    <t>ÓSCAR TORRES GÁMIZ</t>
  </si>
  <si>
    <t>MARÍA DOLORES MUÑOZ GARCÍA</t>
  </si>
  <si>
    <t>PARTIT COMUNISTA DEL POBLE DE CATALUNYA (PCPC)</t>
  </si>
  <si>
    <t>JOSÉ ESTRADA CRUZ</t>
  </si>
  <si>
    <t>MARÍA ILUMINADA PEGUEROLES GOMBAU</t>
  </si>
  <si>
    <t>JOSÉ JUAN FERRÉ FORNÓS</t>
  </si>
  <si>
    <t>RECORTES CERO-GRUPO VERDE (RECORTES CERO-GRUPO VERDE)</t>
  </si>
  <si>
    <t>ANTONIO CHAPELA ARTIME</t>
  </si>
  <si>
    <t>CIUDADANOS-PARTIDO DE LA CIUDADANÍA (C's)</t>
  </si>
  <si>
    <t>FRANCISCO ESTER URUEN</t>
  </si>
  <si>
    <t>FERNANDO PECINO ROBLES</t>
  </si>
  <si>
    <t>MARÍA CARME MARGALEF VERNET</t>
  </si>
  <si>
    <t>Eleccions Generals. Resultats per meses electorals. 20 de desembre de 2015.</t>
  </si>
  <si>
    <t>Eleccions Generals. Resultats per meses electorals. 20 de desembre de 2015</t>
  </si>
  <si>
    <t>ESCOLA MUNICIPAL DE MÚSICA PAU CASALS</t>
  </si>
  <si>
    <t>ESCOLA MARTA MATA</t>
  </si>
  <si>
    <t>ESCOLA BRESSOL RALET RALET</t>
  </si>
  <si>
    <t>ESCOLA PLA DE MAR</t>
  </si>
  <si>
    <t>EN COMÚ</t>
  </si>
  <si>
    <t>C's</t>
  </si>
  <si>
    <t>DL</t>
  </si>
  <si>
    <t>Unió.Cat</t>
  </si>
  <si>
    <t>RECORTES CERO-GRUPO VERDE</t>
  </si>
  <si>
    <t>(PSC-PSOE) PSC</t>
  </si>
  <si>
    <t>(PSC-PSOE)PSC</t>
  </si>
  <si>
    <t>ERC-CATSÍ</t>
  </si>
  <si>
    <t>EB</t>
  </si>
  <si>
    <t>ESCONS EN BLANC/ESCAÑOS EN BLANCO</t>
  </si>
  <si>
    <t>CIUDADANOS-PARTIDO DE LA CIUDADANÍA</t>
  </si>
  <si>
    <t>DEMOCÀCIA I LLIBERTAT. CONVERGÈNCIA. DEMÒCRATES. REAGRUPAMENT</t>
  </si>
  <si>
    <t>EN COMÚ PODEM</t>
  </si>
  <si>
    <t>UNIÓ DEMOCÀTICA DE CATALUNYA</t>
  </si>
  <si>
    <t>Total  vots</t>
  </si>
  <si>
    <t>Vots   vàlids</t>
  </si>
  <si>
    <t>Vots vàlids %</t>
  </si>
  <si>
    <t xml:space="preserve"> % Participació</t>
  </si>
  <si>
    <t xml:space="preserve"> % Abstenció</t>
  </si>
  <si>
    <t>Eleccions Generals. Resultats per meses electorals. 26 de juny de 2016.</t>
  </si>
  <si>
    <t>TERESA MOYA GINÉ</t>
  </si>
  <si>
    <t>CONVERGÈNCIA DEMOCRÀTICA DE CATALUNYA (CDC)</t>
  </si>
  <si>
    <t>CARLOS SÁNCHEZ RUIZ</t>
  </si>
  <si>
    <t>MANUELA PEREA ARROYO</t>
  </si>
  <si>
    <t>JOSEFA AGUIRRE CLAPÉ</t>
  </si>
  <si>
    <t>JORDI JORDAN FARNÓS</t>
  </si>
  <si>
    <t>Eleccions Generals. Resultats per meses electorals. 26 de juny de 2016</t>
  </si>
  <si>
    <t>CDC</t>
  </si>
  <si>
    <t>ECP</t>
  </si>
  <si>
    <t>CONVERGÈNCIA DEMOCRÀTICA DE CATALUNYA</t>
  </si>
  <si>
    <t>PARTIT ANIMALISTA CONTRA EL MALTRACTAMENT ANIMAL</t>
  </si>
  <si>
    <t>PARTIT ANIMALISTA CONTRA EL MALTRACTAMENT ANIMAL (PACMA)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</si>
</sst>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.00_);\-#,##0.00"/>
  </numFmts>
  <fonts count="46">
    <font>
      <sz val="10"/>
      <name val="Arial"/>
      <family val="0"/>
    </font>
    <font>
      <b/>
      <sz val="14"/>
      <color indexed="16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name val="Arial"/>
      <family val="2"/>
    </font>
    <font>
      <i/>
      <sz val="10"/>
      <name val="Verdana"/>
      <family val="2"/>
    </font>
    <font>
      <b/>
      <sz val="10"/>
      <color indexed="54"/>
      <name val="Arial"/>
      <family val="2"/>
    </font>
    <font>
      <b/>
      <sz val="10"/>
      <color indexed="54"/>
      <name val="Verdana"/>
      <family val="2"/>
    </font>
    <font>
      <b/>
      <sz val="8"/>
      <color indexed="54"/>
      <name val="Arial"/>
      <family val="2"/>
    </font>
    <font>
      <b/>
      <sz val="7"/>
      <color indexed="54"/>
      <name val="Arial"/>
      <family val="2"/>
    </font>
    <font>
      <sz val="9"/>
      <name val="Arial"/>
      <family val="2"/>
    </font>
    <font>
      <sz val="8"/>
      <name val="Arial"/>
      <family val="0"/>
    </font>
    <font>
      <sz val="9.85"/>
      <color indexed="8"/>
      <name val="Times New Roman"/>
      <family val="0"/>
    </font>
    <font>
      <sz val="9.85"/>
      <color indexed="8"/>
      <name val="Arial"/>
      <family val="2"/>
    </font>
    <font>
      <sz val="9"/>
      <color indexed="8"/>
      <name val="Times New Roman"/>
      <family val="0"/>
    </font>
    <font>
      <sz val="8"/>
      <color indexed="8"/>
      <name val="Arial"/>
      <family val="2"/>
    </font>
    <font>
      <sz val="7"/>
      <name val="Arial"/>
      <family val="2"/>
    </font>
    <font>
      <sz val="6"/>
      <color indexed="8"/>
      <name val="Arial"/>
      <family val="2"/>
    </font>
    <font>
      <b/>
      <sz val="12"/>
      <color indexed="16"/>
      <name val="Verdana"/>
      <family val="2"/>
    </font>
    <font>
      <sz val="12"/>
      <name val="Arial"/>
      <family val="0"/>
    </font>
    <font>
      <sz val="10"/>
      <color indexed="8"/>
      <name val="Arial"/>
      <family val="2"/>
    </font>
    <font>
      <sz val="6"/>
      <name val="Arial"/>
      <family val="0"/>
    </font>
    <font>
      <sz val="9.85"/>
      <color indexed="8"/>
      <name val=" New Roman     "/>
      <family val="0"/>
    </font>
    <font>
      <b/>
      <sz val="11"/>
      <name val="Arial"/>
      <family val="0"/>
    </font>
    <font>
      <b/>
      <sz val="11"/>
      <color indexed="8"/>
      <name val="Arial"/>
      <family val="0"/>
    </font>
    <font>
      <b/>
      <sz val="8"/>
      <color indexed="63"/>
      <name val="Verdana"/>
      <family val="2"/>
    </font>
    <font>
      <sz val="9"/>
      <color indexed="8"/>
      <name val=" New Roman     "/>
      <family val="0"/>
    </font>
    <font>
      <sz val="9.85"/>
      <name val=" New Roman     "/>
      <family val="0"/>
    </font>
    <font>
      <sz val="9.8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>
        <color indexed="22"/>
      </right>
      <top style="medium"/>
      <bottom>
        <color indexed="63"/>
      </bottom>
    </border>
    <border>
      <left style="thin">
        <color indexed="22"/>
      </left>
      <right style="thin">
        <color indexed="22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5" borderId="0" applyNumberFormat="0" applyBorder="0" applyAlignment="0" applyProtection="0"/>
    <xf numFmtId="0" fontId="45" fillId="8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33" fillId="4" borderId="0" applyNumberFormat="0" applyBorder="0" applyAlignment="0" applyProtection="0"/>
    <xf numFmtId="0" fontId="38" fillId="16" borderId="1" applyNumberFormat="0" applyAlignment="0" applyProtection="0"/>
    <xf numFmtId="0" fontId="40" fillId="17" borderId="2" applyNumberFormat="0" applyAlignment="0" applyProtection="0"/>
    <xf numFmtId="0" fontId="39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21" borderId="0" applyNumberFormat="0" applyBorder="0" applyAlignment="0" applyProtection="0"/>
    <xf numFmtId="0" fontId="36" fillId="7" borderId="1" applyNumberFormat="0" applyAlignment="0" applyProtection="0"/>
    <xf numFmtId="0" fontId="3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7" fillId="16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/>
    </xf>
    <xf numFmtId="3" fontId="6" fillId="0" borderId="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0" fillId="0" borderId="0" xfId="0" applyBorder="1" applyAlignment="1">
      <alignment horizontal="center"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 horizontal="right"/>
    </xf>
    <xf numFmtId="4" fontId="6" fillId="0" borderId="13" xfId="0" applyNumberFormat="1" applyFont="1" applyBorder="1" applyAlignment="1">
      <alignment/>
    </xf>
    <xf numFmtId="1" fontId="6" fillId="0" borderId="13" xfId="0" applyNumberFormat="1" applyFont="1" applyBorder="1" applyAlignment="1">
      <alignment/>
    </xf>
    <xf numFmtId="3" fontId="6" fillId="0" borderId="13" xfId="0" applyNumberFormat="1" applyFont="1" applyBorder="1" applyAlignment="1">
      <alignment/>
    </xf>
    <xf numFmtId="4" fontId="6" fillId="0" borderId="14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6" xfId="0" applyFont="1" applyBorder="1" applyAlignment="1">
      <alignment horizontal="center" wrapText="1"/>
    </xf>
    <xf numFmtId="0" fontId="8" fillId="0" borderId="17" xfId="0" applyFont="1" applyBorder="1" applyAlignment="1">
      <alignment horizontal="center"/>
    </xf>
    <xf numFmtId="0" fontId="9" fillId="0" borderId="16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Alignment="1">
      <alignment vertical="center"/>
    </xf>
    <xf numFmtId="0" fontId="0" fillId="0" borderId="0" xfId="0" applyNumberFormat="1" applyFill="1" applyBorder="1" applyAlignment="1" applyProtection="1">
      <alignment/>
      <protection/>
    </xf>
    <xf numFmtId="3" fontId="12" fillId="0" borderId="0" xfId="0" applyNumberFormat="1" applyFont="1" applyAlignment="1">
      <alignment horizontal="right" vertical="center"/>
    </xf>
    <xf numFmtId="0" fontId="13" fillId="0" borderId="10" xfId="0" applyFont="1" applyBorder="1" applyAlignment="1">
      <alignment vertic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center"/>
    </xf>
    <xf numFmtId="0" fontId="0" fillId="0" borderId="21" xfId="0" applyBorder="1" applyAlignment="1">
      <alignment/>
    </xf>
    <xf numFmtId="0" fontId="15" fillId="0" borderId="0" xfId="0" applyFont="1" applyAlignment="1">
      <alignment vertical="center"/>
    </xf>
    <xf numFmtId="0" fontId="16" fillId="0" borderId="0" xfId="0" applyFont="1" applyAlignment="1">
      <alignment/>
    </xf>
    <xf numFmtId="0" fontId="17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3" fontId="13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left"/>
    </xf>
    <xf numFmtId="3" fontId="6" fillId="0" borderId="20" xfId="0" applyNumberFormat="1" applyFont="1" applyBorder="1" applyAlignment="1">
      <alignment horizontal="center"/>
    </xf>
    <xf numFmtId="0" fontId="3" fillId="0" borderId="0" xfId="0" applyFont="1" applyAlignment="1">
      <alignment horizontal="left" wrapText="1"/>
    </xf>
    <xf numFmtId="2" fontId="0" fillId="0" borderId="0" xfId="0" applyNumberFormat="1" applyBorder="1" applyAlignment="1">
      <alignment/>
    </xf>
    <xf numFmtId="2" fontId="0" fillId="0" borderId="0" xfId="0" applyNumberFormat="1" applyFill="1" applyBorder="1" applyAlignment="1">
      <alignment/>
    </xf>
    <xf numFmtId="2" fontId="13" fillId="0" borderId="0" xfId="0" applyNumberFormat="1" applyFont="1" applyBorder="1" applyAlignment="1">
      <alignment horizontal="right" vertical="center"/>
    </xf>
    <xf numFmtId="2" fontId="6" fillId="0" borderId="0" xfId="0" applyNumberFormat="1" applyFont="1" applyBorder="1" applyAlignment="1">
      <alignment/>
    </xf>
    <xf numFmtId="2" fontId="6" fillId="0" borderId="20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16" xfId="0" applyFont="1" applyBorder="1" applyAlignment="1">
      <alignment horizontal="justify" vertical="center"/>
    </xf>
    <xf numFmtId="0" fontId="21" fillId="0" borderId="0" xfId="0" applyFont="1" applyAlignment="1">
      <alignment/>
    </xf>
    <xf numFmtId="0" fontId="7" fillId="0" borderId="16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Fill="1" applyBorder="1" applyAlignment="1">
      <alignment horizontal="center" vertical="center"/>
    </xf>
    <xf numFmtId="2" fontId="13" fillId="0" borderId="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3" fontId="22" fillId="0" borderId="0" xfId="0" applyNumberFormat="1" applyFont="1" applyAlignment="1">
      <alignment horizontal="center" vertical="center"/>
    </xf>
    <xf numFmtId="3" fontId="13" fillId="0" borderId="0" xfId="0" applyNumberFormat="1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Alignment="1">
      <alignment/>
    </xf>
    <xf numFmtId="0" fontId="23" fillId="24" borderId="24" xfId="0" applyFont="1" applyFill="1" applyBorder="1" applyAlignment="1">
      <alignment horizontal="center"/>
    </xf>
    <xf numFmtId="0" fontId="23" fillId="24" borderId="25" xfId="0" applyFont="1" applyFill="1" applyBorder="1" applyAlignment="1">
      <alignment horizontal="center"/>
    </xf>
    <xf numFmtId="0" fontId="24" fillId="24" borderId="25" xfId="0" applyFont="1" applyFill="1" applyBorder="1" applyAlignment="1">
      <alignment horizontal="center"/>
    </xf>
    <xf numFmtId="0" fontId="23" fillId="0" borderId="25" xfId="0" applyFont="1" applyFill="1" applyBorder="1" applyAlignment="1">
      <alignment horizontal="center"/>
    </xf>
    <xf numFmtId="0" fontId="23" fillId="24" borderId="26" xfId="0" applyFont="1" applyFill="1" applyBorder="1" applyAlignment="1">
      <alignment horizontal="center"/>
    </xf>
    <xf numFmtId="0" fontId="23" fillId="24" borderId="27" xfId="0" applyFont="1" applyFill="1" applyBorder="1" applyAlignment="1">
      <alignment horizontal="center"/>
    </xf>
    <xf numFmtId="0" fontId="24" fillId="24" borderId="27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4" fillId="24" borderId="28" xfId="0" applyFont="1" applyFill="1" applyBorder="1" applyAlignment="1">
      <alignment horizontal="center"/>
    </xf>
    <xf numFmtId="0" fontId="24" fillId="24" borderId="29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23" fillId="24" borderId="29" xfId="0" applyFont="1" applyFill="1" applyBorder="1" applyAlignment="1">
      <alignment horizontal="center"/>
    </xf>
    <xf numFmtId="0" fontId="25" fillId="0" borderId="24" xfId="0" applyFont="1" applyBorder="1" applyAlignment="1">
      <alignment wrapText="1"/>
    </xf>
    <xf numFmtId="0" fontId="25" fillId="0" borderId="26" xfId="0" applyFont="1" applyBorder="1" applyAlignment="1">
      <alignment wrapText="1"/>
    </xf>
    <xf numFmtId="0" fontId="25" fillId="22" borderId="26" xfId="0" applyFont="1" applyFill="1" applyBorder="1" applyAlignment="1">
      <alignment wrapText="1"/>
    </xf>
    <xf numFmtId="0" fontId="25" fillId="0" borderId="26" xfId="0" applyFont="1" applyFill="1" applyBorder="1" applyAlignment="1">
      <alignment wrapText="1"/>
    </xf>
    <xf numFmtId="0" fontId="25" fillId="0" borderId="30" xfId="0" applyFont="1" applyFill="1" applyBorder="1" applyAlignment="1">
      <alignment wrapText="1"/>
    </xf>
    <xf numFmtId="0" fontId="25" fillId="0" borderId="31" xfId="0" applyFont="1" applyFill="1" applyBorder="1" applyAlignment="1">
      <alignment wrapText="1"/>
    </xf>
    <xf numFmtId="0" fontId="25" fillId="0" borderId="32" xfId="0" applyFont="1" applyFill="1" applyBorder="1" applyAlignment="1">
      <alignment wrapText="1"/>
    </xf>
    <xf numFmtId="0" fontId="26" fillId="0" borderId="0" xfId="0" applyFont="1" applyAlignment="1">
      <alignment vertical="center"/>
    </xf>
    <xf numFmtId="0" fontId="0" fillId="0" borderId="25" xfId="0" applyFill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22" borderId="27" xfId="0" applyFill="1" applyBorder="1" applyAlignment="1">
      <alignment horizontal="center"/>
    </xf>
    <xf numFmtId="4" fontId="0" fillId="22" borderId="34" xfId="0" applyNumberFormat="1" applyFill="1" applyBorder="1" applyAlignment="1">
      <alignment horizontal="center"/>
    </xf>
    <xf numFmtId="4" fontId="0" fillId="0" borderId="35" xfId="0" applyNumberFormat="1" applyBorder="1" applyAlignment="1">
      <alignment horizontal="center"/>
    </xf>
    <xf numFmtId="4" fontId="0" fillId="0" borderId="32" xfId="0" applyNumberFormat="1" applyBorder="1" applyAlignment="1">
      <alignment horizontal="center"/>
    </xf>
    <xf numFmtId="4" fontId="0" fillId="0" borderId="32" xfId="0" applyNumberFormat="1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39" xfId="0" applyFill="1" applyBorder="1" applyAlignment="1">
      <alignment horizontal="center"/>
    </xf>
    <xf numFmtId="0" fontId="0" fillId="0" borderId="4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justify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justify" vertical="center" wrapText="1"/>
    </xf>
    <xf numFmtId="3" fontId="27" fillId="0" borderId="0" xfId="0" applyNumberFormat="1" applyFont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11" xfId="0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2" fontId="27" fillId="0" borderId="0" xfId="0" applyNumberFormat="1" applyFont="1" applyAlignment="1">
      <alignment horizontal="center" vertical="center"/>
    </xf>
    <xf numFmtId="2" fontId="27" fillId="0" borderId="0" xfId="0" applyNumberFormat="1" applyFont="1" applyFill="1" applyBorder="1" applyAlignment="1">
      <alignment horizontal="center" vertical="center"/>
    </xf>
    <xf numFmtId="2" fontId="22" fillId="0" borderId="0" xfId="0" applyNumberFormat="1" applyFont="1" applyAlignment="1">
      <alignment horizontal="center" vertical="center"/>
    </xf>
    <xf numFmtId="2" fontId="28" fillId="0" borderId="0" xfId="0" applyNumberFormat="1" applyFont="1" applyBorder="1" applyAlignment="1">
      <alignment horizontal="center" vertical="center"/>
    </xf>
    <xf numFmtId="2" fontId="0" fillId="0" borderId="11" xfId="0" applyNumberForma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2" fontId="0" fillId="0" borderId="0" xfId="0" applyNumberFormat="1" applyFont="1" applyFill="1" applyBorder="1" applyAlignment="1">
      <alignment horizontal="center"/>
    </xf>
    <xf numFmtId="0" fontId="3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18" fillId="0" borderId="0" xfId="0" applyFont="1" applyAlignment="1">
      <alignment horizontal="left" wrapText="1"/>
    </xf>
    <xf numFmtId="0" fontId="19" fillId="0" borderId="0" xfId="0" applyFont="1" applyAlignment="1">
      <alignment wrapText="1"/>
    </xf>
    <xf numFmtId="0" fontId="23" fillId="0" borderId="25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/>
    </xf>
    <xf numFmtId="4" fontId="23" fillId="0" borderId="33" xfId="0" applyNumberFormat="1" applyFont="1" applyBorder="1" applyAlignment="1">
      <alignment horizontal="center" vertical="center"/>
    </xf>
    <xf numFmtId="4" fontId="23" fillId="0" borderId="34" xfId="0" applyNumberFormat="1" applyFont="1" applyBorder="1" applyAlignment="1">
      <alignment horizontal="center" vertical="center"/>
    </xf>
    <xf numFmtId="4" fontId="23" fillId="0" borderId="42" xfId="0" applyNumberFormat="1" applyFont="1" applyBorder="1" applyAlignment="1">
      <alignment horizontal="center" vertical="center"/>
    </xf>
    <xf numFmtId="0" fontId="0" fillId="0" borderId="43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LECCIONS\ELECCIONS%202011%20GENERALS\RESULTATS%20GENERALS%20EL%20VENDRELL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CALS participació"/>
      <sheetName val="VOTS CONGRÈS"/>
      <sheetName val="VOTS SENAT"/>
    </sheetNames>
    <sheetDataSet>
      <sheetData sheetId="0">
        <row r="30">
          <cell r="H30">
            <v>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zoomScalePageLayoutView="0" workbookViewId="0" topLeftCell="V1">
      <selection activeCell="AA8" sqref="AA8:AB8"/>
    </sheetView>
  </sheetViews>
  <sheetFormatPr defaultColWidth="11.421875" defaultRowHeight="12.75"/>
  <cols>
    <col min="1" max="1" width="9.28125" style="0" customWidth="1"/>
    <col min="2" max="2" width="18.00390625" style="0" customWidth="1"/>
    <col min="3" max="3" width="6.140625" style="0" customWidth="1"/>
    <col min="4" max="4" width="6.421875" style="0" customWidth="1"/>
    <col min="5" max="5" width="5.57421875" style="0" customWidth="1"/>
    <col min="6" max="6" width="7.140625" style="0" customWidth="1"/>
    <col min="7" max="7" width="6.140625" style="0" customWidth="1"/>
    <col min="8" max="8" width="5.8515625" style="0" customWidth="1"/>
    <col min="9" max="9" width="5.57421875" style="0" customWidth="1"/>
    <col min="10" max="11" width="4.8515625" style="0" customWidth="1"/>
    <col min="12" max="12" width="5.28125" style="0" customWidth="1"/>
    <col min="13" max="13" width="6.57421875" style="0" customWidth="1"/>
    <col min="14" max="14" width="3.57421875" style="0" customWidth="1"/>
    <col min="15" max="15" width="5.7109375" style="0" customWidth="1"/>
    <col min="16" max="16" width="4.57421875" style="0" customWidth="1"/>
    <col min="17" max="17" width="7.00390625" style="0" customWidth="1"/>
    <col min="18" max="18" width="5.421875" style="0" customWidth="1"/>
    <col min="19" max="19" width="5.8515625" style="0" customWidth="1"/>
    <col min="20" max="20" width="6.421875" style="0" customWidth="1"/>
    <col min="21" max="21" width="8.8515625" style="0" customWidth="1"/>
    <col min="22" max="22" width="5.8515625" style="0" customWidth="1"/>
    <col min="23" max="23" width="5.140625" style="0" customWidth="1"/>
    <col min="24" max="24" width="4.57421875" style="0" customWidth="1"/>
    <col min="25" max="25" width="5.7109375" style="0" customWidth="1"/>
    <col min="26" max="26" width="4.00390625" style="0" customWidth="1"/>
    <col min="27" max="27" width="8.8515625" style="0" customWidth="1"/>
    <col min="28" max="28" width="7.140625" style="0" customWidth="1"/>
    <col min="29" max="29" width="7.8515625" style="0" customWidth="1"/>
  </cols>
  <sheetData>
    <row r="1" spans="1:21" s="2" customFormat="1" ht="18">
      <c r="A1" s="1"/>
      <c r="B1" s="147" t="s">
        <v>2</v>
      </c>
      <c r="C1" s="147"/>
      <c r="D1" s="147"/>
      <c r="E1" s="147"/>
      <c r="F1" s="14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9" s="2" customFormat="1" ht="12.75">
      <c r="A2" s="1"/>
      <c r="B2" s="3" t="s">
        <v>0</v>
      </c>
      <c r="C2" s="4"/>
      <c r="D2" s="1"/>
      <c r="E2" s="1"/>
      <c r="F2" s="1"/>
      <c r="G2" s="1"/>
      <c r="H2"/>
      <c r="I2"/>
    </row>
    <row r="3" spans="1:22" s="2" customFormat="1" ht="12.75">
      <c r="A3" s="1"/>
      <c r="B3" s="149" t="s">
        <v>90</v>
      </c>
      <c r="C3" s="149"/>
      <c r="D3" s="149"/>
      <c r="E3" s="149"/>
      <c r="F3" s="149"/>
      <c r="G3" s="149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9" s="2" customFormat="1" ht="12.75">
      <c r="A4" s="1"/>
      <c r="B4" s="146" t="s">
        <v>1</v>
      </c>
      <c r="C4" s="146"/>
      <c r="D4" s="146"/>
      <c r="E4" s="1"/>
      <c r="F4" s="1"/>
      <c r="G4" s="1"/>
      <c r="H4"/>
      <c r="I4"/>
    </row>
    <row r="5" ht="15" customHeight="1"/>
    <row r="6" ht="12.75" customHeight="1"/>
    <row r="7" ht="13.5" thickBot="1"/>
    <row r="8" spans="1:29" s="20" customFormat="1" ht="30" customHeight="1" thickBot="1">
      <c r="A8" s="19"/>
      <c r="B8" s="16" t="s">
        <v>3</v>
      </c>
      <c r="C8" s="17" t="s">
        <v>44</v>
      </c>
      <c r="D8" s="17" t="s">
        <v>45</v>
      </c>
      <c r="E8" s="17" t="s">
        <v>4</v>
      </c>
      <c r="F8" s="17" t="s">
        <v>42</v>
      </c>
      <c r="G8" s="18" t="s">
        <v>5</v>
      </c>
      <c r="H8" s="17" t="s">
        <v>6</v>
      </c>
      <c r="I8" s="17" t="s">
        <v>7</v>
      </c>
      <c r="J8" s="17" t="s">
        <v>8</v>
      </c>
      <c r="K8" s="18" t="s">
        <v>9</v>
      </c>
      <c r="L8" s="17" t="s">
        <v>10</v>
      </c>
      <c r="M8" s="17" t="s">
        <v>11</v>
      </c>
      <c r="N8" s="17" t="s">
        <v>12</v>
      </c>
      <c r="O8" s="17" t="s">
        <v>13</v>
      </c>
      <c r="P8" s="17" t="s">
        <v>14</v>
      </c>
      <c r="Q8" s="21" t="s">
        <v>15</v>
      </c>
      <c r="R8" s="21" t="s">
        <v>16</v>
      </c>
      <c r="S8" s="21" t="s">
        <v>17</v>
      </c>
      <c r="T8" s="21" t="s">
        <v>18</v>
      </c>
      <c r="U8" s="21" t="s">
        <v>19</v>
      </c>
      <c r="V8" s="21" t="s">
        <v>20</v>
      </c>
      <c r="W8" s="21" t="s">
        <v>21</v>
      </c>
      <c r="X8" s="17" t="s">
        <v>22</v>
      </c>
      <c r="Y8" s="17" t="s">
        <v>23</v>
      </c>
      <c r="Z8" s="17" t="s">
        <v>24</v>
      </c>
      <c r="AA8" s="21" t="s">
        <v>27</v>
      </c>
      <c r="AB8" s="21" t="s">
        <v>25</v>
      </c>
      <c r="AC8" s="22" t="s">
        <v>26</v>
      </c>
    </row>
    <row r="9" spans="2:29" ht="12.75">
      <c r="B9" s="6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8"/>
    </row>
    <row r="10" spans="2:29" ht="12.75">
      <c r="B10" s="6" t="s">
        <v>28</v>
      </c>
      <c r="C10" s="7">
        <v>1</v>
      </c>
      <c r="D10" s="7">
        <v>1</v>
      </c>
      <c r="E10" s="23" t="s">
        <v>39</v>
      </c>
      <c r="F10" s="7">
        <v>795</v>
      </c>
      <c r="G10" s="7">
        <v>181</v>
      </c>
      <c r="H10" s="7">
        <v>166</v>
      </c>
      <c r="I10" s="7">
        <v>111</v>
      </c>
      <c r="J10" s="7">
        <v>2</v>
      </c>
      <c r="K10" s="7"/>
      <c r="L10" s="7">
        <v>3</v>
      </c>
      <c r="M10" s="7"/>
      <c r="N10" s="7"/>
      <c r="O10" s="7">
        <v>22</v>
      </c>
      <c r="P10" s="7">
        <v>3</v>
      </c>
      <c r="Q10" s="7">
        <v>1</v>
      </c>
      <c r="R10" s="7"/>
      <c r="S10" s="7">
        <v>1</v>
      </c>
      <c r="T10" s="7"/>
      <c r="U10" s="7"/>
      <c r="V10" s="7">
        <v>7</v>
      </c>
      <c r="W10" s="7"/>
      <c r="X10" s="7"/>
      <c r="Y10" s="7"/>
      <c r="Z10" s="7">
        <v>1</v>
      </c>
      <c r="AA10" s="7">
        <v>7</v>
      </c>
      <c r="AB10" s="7">
        <v>10</v>
      </c>
      <c r="AC10" s="8">
        <f>SUM(G10:AB10)</f>
        <v>515</v>
      </c>
    </row>
    <row r="11" spans="2:29" ht="12.75">
      <c r="B11" s="6" t="s">
        <v>28</v>
      </c>
      <c r="C11" s="7">
        <v>1</v>
      </c>
      <c r="D11" s="7">
        <v>1</v>
      </c>
      <c r="E11" s="23" t="s">
        <v>40</v>
      </c>
      <c r="F11" s="7">
        <v>861</v>
      </c>
      <c r="G11" s="7">
        <v>197</v>
      </c>
      <c r="H11" s="7">
        <v>155</v>
      </c>
      <c r="I11" s="7">
        <v>134</v>
      </c>
      <c r="J11" s="7"/>
      <c r="K11" s="7"/>
      <c r="L11" s="7">
        <v>9</v>
      </c>
      <c r="M11" s="7"/>
      <c r="N11" s="7"/>
      <c r="O11" s="7">
        <v>24</v>
      </c>
      <c r="P11" s="7"/>
      <c r="Q11" s="7">
        <v>1</v>
      </c>
      <c r="R11" s="7"/>
      <c r="S11" s="7">
        <v>1</v>
      </c>
      <c r="T11" s="7"/>
      <c r="U11" s="7"/>
      <c r="V11" s="7">
        <v>4</v>
      </c>
      <c r="W11" s="7"/>
      <c r="X11" s="7"/>
      <c r="Y11" s="7">
        <v>1</v>
      </c>
      <c r="Z11" s="7"/>
      <c r="AA11" s="7">
        <v>7</v>
      </c>
      <c r="AB11" s="7">
        <v>4</v>
      </c>
      <c r="AC11" s="8">
        <f aca="true" t="shared" si="0" ref="AC11:AC35">SUM(G11:AB11)</f>
        <v>537</v>
      </c>
    </row>
    <row r="12" spans="2:29" ht="12.75">
      <c r="B12" s="6" t="s">
        <v>29</v>
      </c>
      <c r="C12" s="7">
        <v>1</v>
      </c>
      <c r="D12" s="7">
        <v>2</v>
      </c>
      <c r="E12" s="23" t="s">
        <v>41</v>
      </c>
      <c r="F12" s="7">
        <v>842</v>
      </c>
      <c r="G12" s="7">
        <v>228</v>
      </c>
      <c r="H12" s="7">
        <v>179</v>
      </c>
      <c r="I12" s="7">
        <v>77</v>
      </c>
      <c r="J12" s="7"/>
      <c r="K12" s="7"/>
      <c r="L12" s="7">
        <v>6</v>
      </c>
      <c r="M12" s="7"/>
      <c r="N12" s="7"/>
      <c r="O12" s="7">
        <v>40</v>
      </c>
      <c r="P12" s="7">
        <v>2</v>
      </c>
      <c r="Q12" s="7"/>
      <c r="R12" s="7"/>
      <c r="S12" s="7"/>
      <c r="T12" s="7"/>
      <c r="U12" s="7"/>
      <c r="V12" s="7">
        <v>14</v>
      </c>
      <c r="W12" s="7"/>
      <c r="X12" s="7">
        <v>1</v>
      </c>
      <c r="Y12" s="7">
        <v>1</v>
      </c>
      <c r="Z12" s="7"/>
      <c r="AA12" s="7">
        <v>12</v>
      </c>
      <c r="AB12" s="7">
        <v>5</v>
      </c>
      <c r="AC12" s="8">
        <f t="shared" si="0"/>
        <v>565</v>
      </c>
    </row>
    <row r="13" spans="2:29" ht="12.75">
      <c r="B13" s="6" t="s">
        <v>30</v>
      </c>
      <c r="C13" s="7">
        <v>2</v>
      </c>
      <c r="D13" s="7">
        <v>1</v>
      </c>
      <c r="E13" s="23" t="s">
        <v>41</v>
      </c>
      <c r="F13" s="7">
        <v>947</v>
      </c>
      <c r="G13" s="7">
        <v>224</v>
      </c>
      <c r="H13" s="7">
        <v>212</v>
      </c>
      <c r="I13" s="7">
        <v>100</v>
      </c>
      <c r="J13" s="7"/>
      <c r="K13" s="7"/>
      <c r="L13" s="7">
        <v>6</v>
      </c>
      <c r="M13" s="7"/>
      <c r="N13" s="7"/>
      <c r="O13" s="7">
        <v>22</v>
      </c>
      <c r="P13" s="7">
        <v>2</v>
      </c>
      <c r="Q13" s="7">
        <v>1</v>
      </c>
      <c r="R13" s="7"/>
      <c r="S13" s="7"/>
      <c r="T13" s="7"/>
      <c r="U13" s="7"/>
      <c r="V13" s="7">
        <v>7</v>
      </c>
      <c r="W13" s="7"/>
      <c r="X13" s="7"/>
      <c r="Y13" s="7">
        <v>1</v>
      </c>
      <c r="Z13" s="7"/>
      <c r="AA13" s="7">
        <v>7</v>
      </c>
      <c r="AB13" s="7">
        <v>3</v>
      </c>
      <c r="AC13" s="8">
        <f t="shared" si="0"/>
        <v>585</v>
      </c>
    </row>
    <row r="14" spans="2:29" ht="12.75">
      <c r="B14" s="6" t="s">
        <v>30</v>
      </c>
      <c r="C14" s="7">
        <v>2</v>
      </c>
      <c r="D14" s="7">
        <v>2</v>
      </c>
      <c r="E14" s="23" t="s">
        <v>39</v>
      </c>
      <c r="F14" s="7">
        <v>543</v>
      </c>
      <c r="G14" s="7">
        <v>126</v>
      </c>
      <c r="H14" s="7">
        <v>144</v>
      </c>
      <c r="I14" s="7">
        <v>57</v>
      </c>
      <c r="J14" s="7"/>
      <c r="K14" s="7"/>
      <c r="L14" s="7">
        <v>4</v>
      </c>
      <c r="M14" s="7"/>
      <c r="N14" s="7"/>
      <c r="O14" s="7">
        <v>20</v>
      </c>
      <c r="P14" s="7">
        <v>1</v>
      </c>
      <c r="Q14" s="7"/>
      <c r="R14" s="7"/>
      <c r="S14" s="7">
        <v>1</v>
      </c>
      <c r="T14" s="7"/>
      <c r="U14" s="7">
        <v>1</v>
      </c>
      <c r="V14" s="7"/>
      <c r="W14" s="7"/>
      <c r="X14" s="7"/>
      <c r="Y14" s="7">
        <v>1</v>
      </c>
      <c r="Z14" s="7"/>
      <c r="AA14" s="7">
        <v>6</v>
      </c>
      <c r="AB14" s="7">
        <v>1</v>
      </c>
      <c r="AC14" s="8">
        <f t="shared" si="0"/>
        <v>362</v>
      </c>
    </row>
    <row r="15" spans="2:29" ht="12.75">
      <c r="B15" s="6" t="s">
        <v>30</v>
      </c>
      <c r="C15" s="7">
        <v>2</v>
      </c>
      <c r="D15" s="7">
        <v>2</v>
      </c>
      <c r="E15" s="23" t="s">
        <v>40</v>
      </c>
      <c r="F15" s="7">
        <v>751</v>
      </c>
      <c r="G15" s="7">
        <v>156</v>
      </c>
      <c r="H15" s="7">
        <v>186</v>
      </c>
      <c r="I15" s="7">
        <v>71</v>
      </c>
      <c r="J15" s="7">
        <v>1</v>
      </c>
      <c r="K15" s="7"/>
      <c r="L15" s="7">
        <v>9</v>
      </c>
      <c r="M15" s="7"/>
      <c r="N15" s="7">
        <v>1</v>
      </c>
      <c r="O15" s="7">
        <v>39</v>
      </c>
      <c r="P15" s="7">
        <v>1</v>
      </c>
      <c r="Q15" s="7"/>
      <c r="R15" s="7"/>
      <c r="S15" s="7">
        <v>1</v>
      </c>
      <c r="T15" s="7"/>
      <c r="U15" s="7"/>
      <c r="V15" s="7">
        <v>2</v>
      </c>
      <c r="W15" s="7"/>
      <c r="X15" s="7"/>
      <c r="Y15" s="7"/>
      <c r="Z15" s="7"/>
      <c r="AA15" s="7">
        <v>5</v>
      </c>
      <c r="AB15" s="7">
        <v>4</v>
      </c>
      <c r="AC15" s="8">
        <f t="shared" si="0"/>
        <v>476</v>
      </c>
    </row>
    <row r="16" spans="2:29" ht="12.75">
      <c r="B16" s="6" t="s">
        <v>31</v>
      </c>
      <c r="C16" s="7">
        <v>2</v>
      </c>
      <c r="D16" s="7">
        <v>3</v>
      </c>
      <c r="E16" s="23" t="s">
        <v>39</v>
      </c>
      <c r="F16" s="7">
        <v>577</v>
      </c>
      <c r="G16" s="7">
        <v>76</v>
      </c>
      <c r="H16" s="7">
        <v>156</v>
      </c>
      <c r="I16" s="7">
        <v>81</v>
      </c>
      <c r="J16" s="7">
        <v>1</v>
      </c>
      <c r="K16" s="7"/>
      <c r="L16" s="7">
        <v>2</v>
      </c>
      <c r="M16" s="7"/>
      <c r="N16" s="7"/>
      <c r="O16" s="7">
        <v>15</v>
      </c>
      <c r="P16" s="7">
        <v>1</v>
      </c>
      <c r="Q16" s="7">
        <v>2</v>
      </c>
      <c r="R16" s="7"/>
      <c r="S16" s="7"/>
      <c r="T16" s="7"/>
      <c r="U16" s="7"/>
      <c r="V16" s="7">
        <v>3</v>
      </c>
      <c r="W16" s="7"/>
      <c r="X16" s="7"/>
      <c r="Y16" s="7">
        <v>2</v>
      </c>
      <c r="Z16" s="7"/>
      <c r="AA16" s="7"/>
      <c r="AB16" s="7">
        <v>5</v>
      </c>
      <c r="AC16" s="8">
        <f t="shared" si="0"/>
        <v>344</v>
      </c>
    </row>
    <row r="17" spans="2:29" ht="12.75">
      <c r="B17" s="6" t="s">
        <v>31</v>
      </c>
      <c r="C17" s="7">
        <v>2</v>
      </c>
      <c r="D17" s="7">
        <v>3</v>
      </c>
      <c r="E17" s="23" t="s">
        <v>40</v>
      </c>
      <c r="F17" s="7">
        <v>750</v>
      </c>
      <c r="G17" s="7">
        <v>124</v>
      </c>
      <c r="H17" s="7">
        <v>238</v>
      </c>
      <c r="I17" s="7">
        <v>85</v>
      </c>
      <c r="J17" s="7"/>
      <c r="K17" s="7"/>
      <c r="L17" s="7">
        <v>5</v>
      </c>
      <c r="M17" s="7"/>
      <c r="N17" s="7"/>
      <c r="O17" s="7">
        <v>23</v>
      </c>
      <c r="P17" s="7">
        <v>2</v>
      </c>
      <c r="Q17" s="7">
        <v>2</v>
      </c>
      <c r="R17" s="7"/>
      <c r="S17" s="7"/>
      <c r="T17" s="7"/>
      <c r="U17" s="7"/>
      <c r="V17" s="7">
        <v>2</v>
      </c>
      <c r="W17" s="7"/>
      <c r="X17" s="7"/>
      <c r="Y17" s="7"/>
      <c r="Z17" s="7"/>
      <c r="AA17" s="7">
        <v>3</v>
      </c>
      <c r="AB17" s="7"/>
      <c r="AC17" s="8">
        <f t="shared" si="0"/>
        <v>484</v>
      </c>
    </row>
    <row r="18" spans="2:29" ht="12.75">
      <c r="B18" s="6" t="s">
        <v>32</v>
      </c>
      <c r="C18" s="7">
        <v>2</v>
      </c>
      <c r="D18" s="7">
        <v>4</v>
      </c>
      <c r="E18" s="23" t="s">
        <v>39</v>
      </c>
      <c r="F18" s="7">
        <v>766</v>
      </c>
      <c r="G18" s="7">
        <v>111</v>
      </c>
      <c r="H18" s="7">
        <v>158</v>
      </c>
      <c r="I18" s="7">
        <v>129</v>
      </c>
      <c r="J18" s="7"/>
      <c r="K18" s="7"/>
      <c r="L18" s="7">
        <v>5</v>
      </c>
      <c r="M18" s="7"/>
      <c r="N18" s="7"/>
      <c r="O18" s="7">
        <v>19</v>
      </c>
      <c r="P18" s="7">
        <v>1</v>
      </c>
      <c r="Q18" s="7">
        <v>2</v>
      </c>
      <c r="R18" s="7"/>
      <c r="S18" s="7">
        <v>1</v>
      </c>
      <c r="T18" s="7"/>
      <c r="U18" s="7"/>
      <c r="V18" s="7">
        <v>15</v>
      </c>
      <c r="W18" s="7"/>
      <c r="X18" s="7"/>
      <c r="Y18" s="7"/>
      <c r="Z18" s="7"/>
      <c r="AA18" s="7">
        <v>5</v>
      </c>
      <c r="AB18" s="7"/>
      <c r="AC18" s="8">
        <f t="shared" si="0"/>
        <v>446</v>
      </c>
    </row>
    <row r="19" spans="2:29" ht="12.75">
      <c r="B19" s="6" t="s">
        <v>32</v>
      </c>
      <c r="C19" s="7">
        <v>2</v>
      </c>
      <c r="D19" s="7">
        <v>4</v>
      </c>
      <c r="E19" s="23" t="s">
        <v>40</v>
      </c>
      <c r="F19" s="7">
        <v>925</v>
      </c>
      <c r="G19" s="7">
        <v>130</v>
      </c>
      <c r="H19" s="7">
        <v>188</v>
      </c>
      <c r="I19" s="7">
        <v>156</v>
      </c>
      <c r="J19" s="7"/>
      <c r="K19" s="7"/>
      <c r="L19" s="7">
        <v>8</v>
      </c>
      <c r="M19" s="7"/>
      <c r="N19" s="7"/>
      <c r="O19" s="7">
        <v>8</v>
      </c>
      <c r="P19" s="7">
        <v>2</v>
      </c>
      <c r="Q19" s="7">
        <v>3</v>
      </c>
      <c r="R19" s="7"/>
      <c r="S19" s="7">
        <v>1</v>
      </c>
      <c r="T19" s="7"/>
      <c r="U19" s="7"/>
      <c r="V19" s="7">
        <v>12</v>
      </c>
      <c r="W19" s="7"/>
      <c r="X19" s="7">
        <v>1</v>
      </c>
      <c r="Y19" s="7"/>
      <c r="Z19" s="7"/>
      <c r="AA19" s="7">
        <v>8</v>
      </c>
      <c r="AB19" s="7">
        <v>3</v>
      </c>
      <c r="AC19" s="8">
        <f t="shared" si="0"/>
        <v>520</v>
      </c>
    </row>
    <row r="20" spans="2:29" ht="12.75">
      <c r="B20" s="6" t="s">
        <v>33</v>
      </c>
      <c r="C20" s="7">
        <v>3</v>
      </c>
      <c r="D20" s="7">
        <v>1</v>
      </c>
      <c r="E20" s="23" t="s">
        <v>39</v>
      </c>
      <c r="F20" s="7">
        <v>520</v>
      </c>
      <c r="G20" s="7">
        <v>93</v>
      </c>
      <c r="H20" s="7">
        <v>137</v>
      </c>
      <c r="I20" s="7">
        <v>75</v>
      </c>
      <c r="J20" s="7"/>
      <c r="K20" s="7">
        <v>1</v>
      </c>
      <c r="L20" s="7">
        <v>3</v>
      </c>
      <c r="M20" s="7"/>
      <c r="N20" s="7"/>
      <c r="O20" s="7">
        <v>17</v>
      </c>
      <c r="P20" s="7"/>
      <c r="Q20" s="7">
        <v>1</v>
      </c>
      <c r="R20" s="7"/>
      <c r="S20" s="7">
        <v>1</v>
      </c>
      <c r="T20" s="7"/>
      <c r="U20" s="7"/>
      <c r="V20" s="7">
        <v>1</v>
      </c>
      <c r="W20" s="7"/>
      <c r="X20" s="7"/>
      <c r="Y20" s="7"/>
      <c r="Z20" s="7"/>
      <c r="AA20" s="7">
        <v>15</v>
      </c>
      <c r="AB20" s="7">
        <v>6</v>
      </c>
      <c r="AC20" s="8">
        <f t="shared" si="0"/>
        <v>350</v>
      </c>
    </row>
    <row r="21" spans="2:29" ht="12.75">
      <c r="B21" s="6" t="s">
        <v>33</v>
      </c>
      <c r="C21" s="7">
        <v>3</v>
      </c>
      <c r="D21" s="7">
        <v>1</v>
      </c>
      <c r="E21" s="23" t="s">
        <v>40</v>
      </c>
      <c r="F21" s="7">
        <v>599</v>
      </c>
      <c r="G21" s="7">
        <v>127</v>
      </c>
      <c r="H21" s="7">
        <v>193</v>
      </c>
      <c r="I21" s="7">
        <v>64</v>
      </c>
      <c r="J21" s="7"/>
      <c r="K21" s="7"/>
      <c r="L21" s="7">
        <v>4</v>
      </c>
      <c r="M21" s="7"/>
      <c r="N21" s="7"/>
      <c r="O21" s="7">
        <v>24</v>
      </c>
      <c r="P21" s="7">
        <v>1</v>
      </c>
      <c r="Q21" s="7"/>
      <c r="R21" s="7"/>
      <c r="S21" s="7"/>
      <c r="T21" s="7"/>
      <c r="U21" s="7"/>
      <c r="V21" s="7">
        <v>6</v>
      </c>
      <c r="W21" s="7"/>
      <c r="X21" s="7"/>
      <c r="Y21" s="7"/>
      <c r="Z21" s="7"/>
      <c r="AA21" s="7">
        <v>8</v>
      </c>
      <c r="AB21" s="7">
        <v>2</v>
      </c>
      <c r="AC21" s="8">
        <f t="shared" si="0"/>
        <v>429</v>
      </c>
    </row>
    <row r="22" spans="2:29" ht="12.75">
      <c r="B22" s="6" t="s">
        <v>34</v>
      </c>
      <c r="C22" s="7">
        <v>3</v>
      </c>
      <c r="D22" s="7">
        <v>2</v>
      </c>
      <c r="E22" s="23" t="s">
        <v>39</v>
      </c>
      <c r="F22" s="7">
        <v>537</v>
      </c>
      <c r="G22" s="7">
        <v>71</v>
      </c>
      <c r="H22" s="7">
        <v>132</v>
      </c>
      <c r="I22" s="7">
        <v>85</v>
      </c>
      <c r="J22" s="7"/>
      <c r="K22" s="7"/>
      <c r="L22" s="7">
        <v>5</v>
      </c>
      <c r="M22" s="7"/>
      <c r="N22" s="7"/>
      <c r="O22" s="7">
        <v>12</v>
      </c>
      <c r="P22" s="7">
        <v>1</v>
      </c>
      <c r="Q22" s="7">
        <v>2</v>
      </c>
      <c r="R22" s="7"/>
      <c r="S22" s="7">
        <v>1</v>
      </c>
      <c r="T22" s="7"/>
      <c r="U22" s="7"/>
      <c r="V22" s="7">
        <v>4</v>
      </c>
      <c r="W22" s="7"/>
      <c r="X22" s="7"/>
      <c r="Y22" s="7"/>
      <c r="Z22" s="7"/>
      <c r="AA22" s="7">
        <v>2</v>
      </c>
      <c r="AB22" s="7"/>
      <c r="AC22" s="8">
        <f t="shared" si="0"/>
        <v>315</v>
      </c>
    </row>
    <row r="23" spans="2:29" ht="12.75">
      <c r="B23" s="6" t="s">
        <v>34</v>
      </c>
      <c r="C23" s="7">
        <v>3</v>
      </c>
      <c r="D23" s="7">
        <v>2</v>
      </c>
      <c r="E23" s="23" t="s">
        <v>40</v>
      </c>
      <c r="F23" s="7">
        <v>609</v>
      </c>
      <c r="G23" s="7">
        <v>93</v>
      </c>
      <c r="H23" s="7">
        <v>167</v>
      </c>
      <c r="I23" s="7">
        <v>92</v>
      </c>
      <c r="J23" s="7"/>
      <c r="K23" s="7"/>
      <c r="L23" s="7">
        <v>5</v>
      </c>
      <c r="M23" s="7"/>
      <c r="N23" s="7"/>
      <c r="O23" s="7">
        <v>10</v>
      </c>
      <c r="P23" s="7">
        <v>4</v>
      </c>
      <c r="Q23" s="7"/>
      <c r="R23" s="7"/>
      <c r="S23" s="7">
        <v>1</v>
      </c>
      <c r="T23" s="7"/>
      <c r="U23" s="7"/>
      <c r="V23" s="7">
        <v>3</v>
      </c>
      <c r="W23" s="7"/>
      <c r="X23" s="7"/>
      <c r="Y23" s="7"/>
      <c r="Z23" s="7"/>
      <c r="AA23" s="7">
        <v>1</v>
      </c>
      <c r="AB23" s="7">
        <v>1</v>
      </c>
      <c r="AC23" s="8">
        <f t="shared" si="0"/>
        <v>377</v>
      </c>
    </row>
    <row r="24" spans="2:29" ht="12.75">
      <c r="B24" s="6" t="s">
        <v>35</v>
      </c>
      <c r="C24" s="7">
        <v>3</v>
      </c>
      <c r="D24" s="7">
        <v>3</v>
      </c>
      <c r="E24" s="23" t="s">
        <v>39</v>
      </c>
      <c r="F24" s="7">
        <v>786</v>
      </c>
      <c r="G24" s="7">
        <v>147</v>
      </c>
      <c r="H24" s="7">
        <v>145</v>
      </c>
      <c r="I24" s="7">
        <v>147</v>
      </c>
      <c r="J24" s="7"/>
      <c r="K24" s="7"/>
      <c r="L24" s="7">
        <v>14</v>
      </c>
      <c r="M24" s="7"/>
      <c r="N24" s="7"/>
      <c r="O24" s="7">
        <v>14</v>
      </c>
      <c r="P24" s="7">
        <v>1</v>
      </c>
      <c r="Q24" s="7">
        <v>2</v>
      </c>
      <c r="R24" s="7">
        <v>1</v>
      </c>
      <c r="S24" s="7">
        <v>1</v>
      </c>
      <c r="T24" s="7"/>
      <c r="U24" s="7"/>
      <c r="V24" s="7">
        <v>16</v>
      </c>
      <c r="W24" s="7"/>
      <c r="X24" s="7"/>
      <c r="Y24" s="7"/>
      <c r="Z24" s="7"/>
      <c r="AA24" s="7">
        <v>10</v>
      </c>
      <c r="AB24" s="7">
        <v>2</v>
      </c>
      <c r="AC24" s="8">
        <f t="shared" si="0"/>
        <v>500</v>
      </c>
    </row>
    <row r="25" spans="2:29" ht="12.75">
      <c r="B25" s="6" t="s">
        <v>35</v>
      </c>
      <c r="C25" s="7">
        <v>3</v>
      </c>
      <c r="D25" s="7">
        <v>3</v>
      </c>
      <c r="E25" s="23" t="s">
        <v>40</v>
      </c>
      <c r="F25" s="7">
        <v>885</v>
      </c>
      <c r="G25" s="7">
        <v>167</v>
      </c>
      <c r="H25" s="7">
        <v>169</v>
      </c>
      <c r="I25" s="7">
        <v>153</v>
      </c>
      <c r="J25" s="7"/>
      <c r="K25" s="7"/>
      <c r="L25" s="7">
        <v>13</v>
      </c>
      <c r="M25" s="7"/>
      <c r="N25" s="7"/>
      <c r="O25" s="7">
        <v>10</v>
      </c>
      <c r="P25" s="7">
        <v>1</v>
      </c>
      <c r="Q25" s="7">
        <v>2</v>
      </c>
      <c r="R25" s="7">
        <v>1</v>
      </c>
      <c r="S25" s="7">
        <v>1</v>
      </c>
      <c r="T25" s="7"/>
      <c r="U25" s="7">
        <v>2</v>
      </c>
      <c r="V25" s="7">
        <v>9</v>
      </c>
      <c r="W25" s="7">
        <v>1</v>
      </c>
      <c r="X25" s="7"/>
      <c r="Y25" s="7"/>
      <c r="Z25" s="7"/>
      <c r="AA25" s="7">
        <v>5</v>
      </c>
      <c r="AB25" s="7">
        <v>5</v>
      </c>
      <c r="AC25" s="8">
        <f t="shared" si="0"/>
        <v>539</v>
      </c>
    </row>
    <row r="26" spans="2:29" ht="12.75">
      <c r="B26" s="6" t="s">
        <v>34</v>
      </c>
      <c r="C26" s="7">
        <v>3</v>
      </c>
      <c r="D26" s="7">
        <v>4</v>
      </c>
      <c r="E26" s="23" t="s">
        <v>39</v>
      </c>
      <c r="F26" s="7">
        <v>585</v>
      </c>
      <c r="G26" s="7">
        <v>89</v>
      </c>
      <c r="H26" s="7">
        <v>183</v>
      </c>
      <c r="I26" s="7">
        <v>87</v>
      </c>
      <c r="J26" s="7"/>
      <c r="K26" s="7"/>
      <c r="L26" s="7">
        <v>3</v>
      </c>
      <c r="M26" s="7"/>
      <c r="N26" s="7"/>
      <c r="O26" s="7">
        <v>11</v>
      </c>
      <c r="P26" s="7">
        <v>3</v>
      </c>
      <c r="Q26" s="7">
        <v>1</v>
      </c>
      <c r="R26" s="7"/>
      <c r="S26" s="7">
        <v>1</v>
      </c>
      <c r="T26" s="7"/>
      <c r="U26" s="7"/>
      <c r="V26" s="7">
        <v>6</v>
      </c>
      <c r="W26" s="7">
        <v>1</v>
      </c>
      <c r="X26" s="7"/>
      <c r="Y26" s="7"/>
      <c r="Z26" s="7"/>
      <c r="AA26" s="7">
        <v>6</v>
      </c>
      <c r="AB26" s="7">
        <v>7</v>
      </c>
      <c r="AC26" s="8">
        <f t="shared" si="0"/>
        <v>398</v>
      </c>
    </row>
    <row r="27" spans="2:29" ht="12.75">
      <c r="B27" s="6" t="s">
        <v>34</v>
      </c>
      <c r="C27" s="7">
        <v>3</v>
      </c>
      <c r="D27" s="7">
        <v>4</v>
      </c>
      <c r="E27" s="23" t="s">
        <v>40</v>
      </c>
      <c r="F27" s="7">
        <v>740</v>
      </c>
      <c r="G27" s="7">
        <v>110</v>
      </c>
      <c r="H27" s="7">
        <v>266</v>
      </c>
      <c r="I27" s="7">
        <v>112</v>
      </c>
      <c r="J27" s="7">
        <v>1</v>
      </c>
      <c r="K27" s="7"/>
      <c r="L27" s="7">
        <v>6</v>
      </c>
      <c r="M27" s="7"/>
      <c r="N27" s="7"/>
      <c r="O27" s="7">
        <v>10</v>
      </c>
      <c r="P27" s="7"/>
      <c r="Q27" s="7">
        <v>3</v>
      </c>
      <c r="R27" s="7"/>
      <c r="S27" s="7"/>
      <c r="T27" s="7"/>
      <c r="U27" s="7"/>
      <c r="V27" s="7">
        <v>6</v>
      </c>
      <c r="W27" s="7"/>
      <c r="X27" s="7"/>
      <c r="Y27" s="7"/>
      <c r="Z27" s="7"/>
      <c r="AA27" s="7">
        <v>7</v>
      </c>
      <c r="AB27" s="7">
        <v>7</v>
      </c>
      <c r="AC27" s="8">
        <f t="shared" si="0"/>
        <v>528</v>
      </c>
    </row>
    <row r="28" spans="2:29" ht="12.75">
      <c r="B28" s="6" t="s">
        <v>36</v>
      </c>
      <c r="C28" s="7">
        <v>3</v>
      </c>
      <c r="D28" s="7">
        <v>5</v>
      </c>
      <c r="E28" s="23" t="s">
        <v>41</v>
      </c>
      <c r="F28" s="7">
        <v>971</v>
      </c>
      <c r="G28" s="7">
        <v>211</v>
      </c>
      <c r="H28" s="7">
        <v>281</v>
      </c>
      <c r="I28" s="7">
        <v>124</v>
      </c>
      <c r="J28" s="7"/>
      <c r="K28" s="7"/>
      <c r="L28" s="7">
        <v>9</v>
      </c>
      <c r="M28" s="7"/>
      <c r="N28" s="7"/>
      <c r="O28" s="7">
        <v>32</v>
      </c>
      <c r="P28" s="7">
        <v>1</v>
      </c>
      <c r="Q28" s="7">
        <v>2</v>
      </c>
      <c r="R28" s="7"/>
      <c r="S28" s="7"/>
      <c r="T28" s="7"/>
      <c r="U28" s="7">
        <v>1</v>
      </c>
      <c r="V28" s="7">
        <v>6</v>
      </c>
      <c r="W28" s="7"/>
      <c r="X28" s="7"/>
      <c r="Y28" s="7"/>
      <c r="Z28" s="7">
        <v>1</v>
      </c>
      <c r="AA28" s="7">
        <v>5</v>
      </c>
      <c r="AB28" s="7">
        <v>3</v>
      </c>
      <c r="AC28" s="8">
        <f t="shared" si="0"/>
        <v>676</v>
      </c>
    </row>
    <row r="29" spans="2:29" ht="12.75">
      <c r="B29" s="6" t="s">
        <v>37</v>
      </c>
      <c r="C29" s="7">
        <v>3</v>
      </c>
      <c r="D29" s="7">
        <v>6</v>
      </c>
      <c r="E29" s="23" t="s">
        <v>39</v>
      </c>
      <c r="F29" s="7">
        <v>503</v>
      </c>
      <c r="G29" s="7">
        <v>115</v>
      </c>
      <c r="H29" s="7">
        <v>128</v>
      </c>
      <c r="I29" s="7">
        <v>67</v>
      </c>
      <c r="J29" s="7">
        <v>1</v>
      </c>
      <c r="K29" s="7">
        <v>2</v>
      </c>
      <c r="L29" s="7">
        <v>2</v>
      </c>
      <c r="M29" s="7"/>
      <c r="N29" s="7"/>
      <c r="O29" s="7">
        <v>17</v>
      </c>
      <c r="P29" s="7">
        <v>1</v>
      </c>
      <c r="Q29" s="7">
        <v>1</v>
      </c>
      <c r="R29" s="7"/>
      <c r="S29" s="7"/>
      <c r="T29" s="7"/>
      <c r="U29" s="7">
        <v>1</v>
      </c>
      <c r="V29" s="7">
        <v>6</v>
      </c>
      <c r="W29" s="7"/>
      <c r="X29" s="7"/>
      <c r="Y29" s="7"/>
      <c r="Z29" s="7"/>
      <c r="AA29" s="7">
        <v>3</v>
      </c>
      <c r="AB29" s="7"/>
      <c r="AC29" s="8">
        <f t="shared" si="0"/>
        <v>344</v>
      </c>
    </row>
    <row r="30" spans="2:29" ht="12.75">
      <c r="B30" s="6" t="s">
        <v>37</v>
      </c>
      <c r="C30" s="7">
        <v>3</v>
      </c>
      <c r="D30" s="7">
        <v>6</v>
      </c>
      <c r="E30" s="23" t="s">
        <v>40</v>
      </c>
      <c r="F30" s="7">
        <v>628</v>
      </c>
      <c r="G30" s="7">
        <v>145</v>
      </c>
      <c r="H30" s="7">
        <v>155</v>
      </c>
      <c r="I30" s="7">
        <v>80</v>
      </c>
      <c r="J30" s="7"/>
      <c r="K30" s="7"/>
      <c r="L30" s="7">
        <v>8</v>
      </c>
      <c r="M30" s="7"/>
      <c r="N30" s="7"/>
      <c r="O30" s="7">
        <v>17</v>
      </c>
      <c r="P30" s="7">
        <v>1</v>
      </c>
      <c r="Q30" s="7">
        <v>1</v>
      </c>
      <c r="R30" s="7"/>
      <c r="S30" s="7"/>
      <c r="T30" s="7"/>
      <c r="U30" s="7"/>
      <c r="V30" s="7">
        <v>3</v>
      </c>
      <c r="W30" s="7">
        <v>1</v>
      </c>
      <c r="X30" s="7">
        <v>1</v>
      </c>
      <c r="Y30" s="7"/>
      <c r="Z30" s="7"/>
      <c r="AA30" s="7">
        <v>2</v>
      </c>
      <c r="AB30" s="7">
        <v>1</v>
      </c>
      <c r="AC30" s="8">
        <f t="shared" si="0"/>
        <v>415</v>
      </c>
    </row>
    <row r="31" spans="2:29" ht="12.75">
      <c r="B31" s="6" t="s">
        <v>35</v>
      </c>
      <c r="C31" s="7">
        <v>3</v>
      </c>
      <c r="D31" s="7">
        <v>7</v>
      </c>
      <c r="E31" s="23" t="s">
        <v>39</v>
      </c>
      <c r="F31" s="7">
        <v>576</v>
      </c>
      <c r="G31" s="7">
        <v>96</v>
      </c>
      <c r="H31" s="7">
        <v>102</v>
      </c>
      <c r="I31" s="7">
        <v>119</v>
      </c>
      <c r="J31" s="7"/>
      <c r="K31" s="7">
        <v>11</v>
      </c>
      <c r="L31" s="7"/>
      <c r="M31" s="7"/>
      <c r="N31" s="7"/>
      <c r="O31" s="7">
        <v>10</v>
      </c>
      <c r="P31" s="7">
        <v>2</v>
      </c>
      <c r="Q31" s="7">
        <v>2</v>
      </c>
      <c r="R31" s="7">
        <v>1</v>
      </c>
      <c r="S31" s="7"/>
      <c r="T31" s="7"/>
      <c r="U31" s="7"/>
      <c r="V31" s="7">
        <v>4</v>
      </c>
      <c r="W31" s="7"/>
      <c r="X31" s="7"/>
      <c r="Y31" s="7"/>
      <c r="Z31" s="7"/>
      <c r="AA31" s="7">
        <v>8</v>
      </c>
      <c r="AB31" s="7">
        <v>4</v>
      </c>
      <c r="AC31" s="8">
        <f t="shared" si="0"/>
        <v>359</v>
      </c>
    </row>
    <row r="32" spans="2:29" ht="12.75">
      <c r="B32" s="6" t="s">
        <v>35</v>
      </c>
      <c r="C32" s="7">
        <v>3</v>
      </c>
      <c r="D32" s="7">
        <v>7</v>
      </c>
      <c r="E32" s="23" t="s">
        <v>40</v>
      </c>
      <c r="F32" s="7">
        <v>653</v>
      </c>
      <c r="G32" s="7">
        <v>123</v>
      </c>
      <c r="H32" s="7">
        <v>121</v>
      </c>
      <c r="I32" s="7">
        <v>136</v>
      </c>
      <c r="J32" s="7">
        <v>1</v>
      </c>
      <c r="K32" s="7"/>
      <c r="L32" s="7">
        <v>16</v>
      </c>
      <c r="M32" s="7"/>
      <c r="N32" s="7"/>
      <c r="O32" s="7">
        <v>10</v>
      </c>
      <c r="P32" s="7">
        <v>3</v>
      </c>
      <c r="Q32" s="7">
        <v>1</v>
      </c>
      <c r="R32" s="7"/>
      <c r="S32" s="7"/>
      <c r="T32" s="7"/>
      <c r="U32" s="7"/>
      <c r="V32" s="7">
        <v>5</v>
      </c>
      <c r="W32" s="7"/>
      <c r="X32" s="7"/>
      <c r="Y32" s="7"/>
      <c r="Z32" s="7"/>
      <c r="AA32" s="7">
        <v>1</v>
      </c>
      <c r="AB32" s="7"/>
      <c r="AC32" s="8">
        <f t="shared" si="0"/>
        <v>417</v>
      </c>
    </row>
    <row r="33" spans="2:29" ht="12.75">
      <c r="B33" s="6" t="s">
        <v>38</v>
      </c>
      <c r="C33" s="7">
        <v>3</v>
      </c>
      <c r="D33" s="7">
        <v>8</v>
      </c>
      <c r="E33" s="23" t="s">
        <v>41</v>
      </c>
      <c r="F33" s="7">
        <v>881</v>
      </c>
      <c r="G33" s="7">
        <v>120</v>
      </c>
      <c r="H33" s="7">
        <v>286</v>
      </c>
      <c r="I33" s="7">
        <v>120</v>
      </c>
      <c r="J33" s="7"/>
      <c r="K33" s="7"/>
      <c r="L33" s="7">
        <v>3</v>
      </c>
      <c r="M33" s="7"/>
      <c r="N33" s="7"/>
      <c r="O33" s="7">
        <v>11</v>
      </c>
      <c r="P33" s="7"/>
      <c r="Q33" s="7"/>
      <c r="R33" s="7"/>
      <c r="S33" s="7"/>
      <c r="T33" s="7"/>
      <c r="U33" s="7"/>
      <c r="V33" s="7">
        <v>12</v>
      </c>
      <c r="W33" s="7"/>
      <c r="X33" s="7"/>
      <c r="Y33" s="7">
        <v>2</v>
      </c>
      <c r="Z33" s="7">
        <v>2</v>
      </c>
      <c r="AA33" s="7">
        <v>5</v>
      </c>
      <c r="AB33" s="7">
        <v>3</v>
      </c>
      <c r="AC33" s="8">
        <f t="shared" si="0"/>
        <v>564</v>
      </c>
    </row>
    <row r="34" spans="2:29" ht="12.75">
      <c r="B34" s="6"/>
      <c r="C34" s="7"/>
      <c r="D34" s="7"/>
      <c r="E34" s="23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8"/>
    </row>
    <row r="35" spans="2:29" s="5" customFormat="1" ht="12.75">
      <c r="B35" s="9" t="s">
        <v>43</v>
      </c>
      <c r="C35" s="10"/>
      <c r="D35" s="10"/>
      <c r="E35" s="10"/>
      <c r="F35" s="11">
        <f aca="true" t="shared" si="1" ref="F35:AB35">SUM(F10:F34)</f>
        <v>17230</v>
      </c>
      <c r="G35" s="11">
        <f t="shared" si="1"/>
        <v>3260</v>
      </c>
      <c r="H35" s="11">
        <f t="shared" si="1"/>
        <v>4247</v>
      </c>
      <c r="I35" s="11">
        <f t="shared" si="1"/>
        <v>2462</v>
      </c>
      <c r="J35" s="11">
        <f t="shared" si="1"/>
        <v>7</v>
      </c>
      <c r="K35" s="11">
        <f t="shared" si="1"/>
        <v>14</v>
      </c>
      <c r="L35" s="11">
        <f t="shared" si="1"/>
        <v>148</v>
      </c>
      <c r="M35" s="11">
        <f t="shared" si="1"/>
        <v>0</v>
      </c>
      <c r="N35" s="11">
        <f t="shared" si="1"/>
        <v>1</v>
      </c>
      <c r="O35" s="11">
        <f t="shared" si="1"/>
        <v>437</v>
      </c>
      <c r="P35" s="11">
        <f t="shared" si="1"/>
        <v>34</v>
      </c>
      <c r="Q35" s="11">
        <f t="shared" si="1"/>
        <v>30</v>
      </c>
      <c r="R35" s="11">
        <f t="shared" si="1"/>
        <v>3</v>
      </c>
      <c r="S35" s="11">
        <f t="shared" si="1"/>
        <v>12</v>
      </c>
      <c r="T35" s="11">
        <f t="shared" si="1"/>
        <v>0</v>
      </c>
      <c r="U35" s="11">
        <f t="shared" si="1"/>
        <v>5</v>
      </c>
      <c r="V35" s="11">
        <f t="shared" si="1"/>
        <v>153</v>
      </c>
      <c r="W35" s="11">
        <f t="shared" si="1"/>
        <v>3</v>
      </c>
      <c r="X35" s="11">
        <f t="shared" si="1"/>
        <v>3</v>
      </c>
      <c r="Y35" s="11">
        <f t="shared" si="1"/>
        <v>8</v>
      </c>
      <c r="Z35" s="11">
        <f t="shared" si="1"/>
        <v>4</v>
      </c>
      <c r="AA35" s="11">
        <f t="shared" si="1"/>
        <v>138</v>
      </c>
      <c r="AB35" s="11">
        <f t="shared" si="1"/>
        <v>76</v>
      </c>
      <c r="AC35" s="24">
        <f t="shared" si="0"/>
        <v>11045</v>
      </c>
    </row>
    <row r="36" spans="2:29" s="5" customFormat="1" ht="12.75">
      <c r="B36" s="9"/>
      <c r="C36" s="10"/>
      <c r="D36" s="10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24"/>
    </row>
    <row r="37" spans="2:29" ht="13.5" thickBot="1">
      <c r="B37" s="25" t="s">
        <v>46</v>
      </c>
      <c r="C37" s="14"/>
      <c r="D37" s="14"/>
      <c r="E37" s="14"/>
      <c r="F37" s="14"/>
      <c r="G37" s="26">
        <v>18.92</v>
      </c>
      <c r="H37" s="26">
        <v>24.6</v>
      </c>
      <c r="I37" s="26">
        <v>14.3</v>
      </c>
      <c r="J37" s="28">
        <v>0</v>
      </c>
      <c r="K37" s="26">
        <v>0.1</v>
      </c>
      <c r="L37" s="26">
        <v>0.9</v>
      </c>
      <c r="M37" s="28">
        <v>0</v>
      </c>
      <c r="N37" s="28">
        <v>0</v>
      </c>
      <c r="O37" s="26">
        <v>2.54</v>
      </c>
      <c r="P37" s="26">
        <v>0.2</v>
      </c>
      <c r="Q37" s="26">
        <v>0.17</v>
      </c>
      <c r="R37" s="28">
        <v>0</v>
      </c>
      <c r="S37" s="26">
        <v>0.07</v>
      </c>
      <c r="T37" s="28">
        <v>0</v>
      </c>
      <c r="U37" s="26">
        <v>0.029</v>
      </c>
      <c r="V37" s="26">
        <v>2.5</v>
      </c>
      <c r="W37" s="26">
        <v>8.43</v>
      </c>
      <c r="X37" s="28">
        <v>0</v>
      </c>
      <c r="Y37" s="26">
        <v>16</v>
      </c>
      <c r="Z37" s="27">
        <v>0</v>
      </c>
      <c r="AA37" s="26">
        <v>2.15</v>
      </c>
      <c r="AB37" s="26">
        <v>0.4</v>
      </c>
      <c r="AC37" s="29">
        <v>64</v>
      </c>
    </row>
  </sheetData>
  <sheetProtection/>
  <mergeCells count="3">
    <mergeCell ref="B4:D4"/>
    <mergeCell ref="B1:U1"/>
    <mergeCell ref="B3:V3"/>
  </mergeCells>
  <printOptions/>
  <pageMargins left="0.33" right="0.5" top="1" bottom="1" header="0" footer="0"/>
  <pageSetup fitToHeight="1" fitToWidth="1" horizontalDpi="300" verticalDpi="300" orientation="landscape" paperSize="9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4"/>
  <sheetViews>
    <sheetView tabSelected="1" zoomScale="115" zoomScaleNormal="115" workbookViewId="0" topLeftCell="A1">
      <selection activeCell="A1" sqref="A1:T61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3" width="8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6.28125" style="0" customWidth="1"/>
    <col min="8" max="9" width="6.421875" style="0" customWidth="1"/>
    <col min="10" max="10" width="6.28125" style="0" customWidth="1"/>
    <col min="11" max="11" width="6.8515625" style="0" customWidth="1"/>
    <col min="12" max="12" width="7.57421875" style="0" customWidth="1"/>
    <col min="13" max="13" width="14.00390625" style="0" customWidth="1"/>
    <col min="14" max="14" width="8.28125" style="0" customWidth="1"/>
    <col min="15" max="15" width="9.00390625" style="0" customWidth="1"/>
    <col min="16" max="17" width="7.140625" style="0" customWidth="1"/>
    <col min="18" max="18" width="9.7109375" style="0" customWidth="1"/>
    <col min="19" max="19" width="12.28125" style="0" customWidth="1"/>
  </cols>
  <sheetData>
    <row r="1" spans="1:14" ht="18" customHeight="1">
      <c r="A1" s="1"/>
      <c r="B1" s="150" t="s">
        <v>275</v>
      </c>
      <c r="C1" s="150"/>
      <c r="D1" s="150"/>
      <c r="E1" s="150"/>
      <c r="F1" s="150"/>
      <c r="G1" s="151"/>
      <c r="H1" s="151"/>
      <c r="I1" s="151"/>
      <c r="J1" s="151"/>
      <c r="K1" s="151"/>
      <c r="L1" s="2"/>
      <c r="M1" s="2"/>
      <c r="N1" s="2"/>
    </row>
    <row r="2" spans="1:14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</row>
    <row r="3" spans="1:14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2"/>
      <c r="M3" s="2"/>
      <c r="N3" s="2"/>
    </row>
    <row r="4" spans="1:14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</row>
    <row r="5" ht="13.5" thickBot="1"/>
    <row r="6" spans="1:20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123" t="s">
        <v>255</v>
      </c>
      <c r="G6" s="123" t="s">
        <v>256</v>
      </c>
      <c r="H6" s="124" t="s">
        <v>276</v>
      </c>
      <c r="I6" s="124" t="s">
        <v>250</v>
      </c>
      <c r="J6" s="123" t="s">
        <v>110</v>
      </c>
      <c r="K6" s="124" t="s">
        <v>277</v>
      </c>
      <c r="L6" s="124" t="s">
        <v>7</v>
      </c>
      <c r="M6" s="143" t="s">
        <v>253</v>
      </c>
      <c r="N6" s="124" t="s">
        <v>177</v>
      </c>
      <c r="O6" s="69" t="s">
        <v>27</v>
      </c>
      <c r="P6" s="144" t="s">
        <v>25</v>
      </c>
      <c r="Q6" s="55" t="s">
        <v>264</v>
      </c>
      <c r="R6" s="55" t="s">
        <v>263</v>
      </c>
      <c r="S6" s="55" t="s">
        <v>266</v>
      </c>
      <c r="T6" s="56" t="s">
        <v>267</v>
      </c>
    </row>
    <row r="7" spans="1:20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7"/>
      <c r="P7" s="7"/>
      <c r="Q7" s="7"/>
      <c r="R7" s="49"/>
      <c r="S7" s="49"/>
      <c r="T7" s="130"/>
    </row>
    <row r="8" spans="1:20" ht="12.75">
      <c r="A8" s="30"/>
      <c r="B8" s="73" t="s">
        <v>166</v>
      </c>
      <c r="C8" s="120">
        <v>1</v>
      </c>
      <c r="D8" s="120">
        <v>1</v>
      </c>
      <c r="E8" s="120" t="s">
        <v>39</v>
      </c>
      <c r="F8" s="120">
        <v>38</v>
      </c>
      <c r="G8" s="120">
        <v>73</v>
      </c>
      <c r="H8" s="120">
        <v>54</v>
      </c>
      <c r="I8" s="120">
        <v>24</v>
      </c>
      <c r="J8" s="120">
        <v>0</v>
      </c>
      <c r="K8" s="120">
        <v>50</v>
      </c>
      <c r="L8" s="120">
        <v>43</v>
      </c>
      <c r="M8" s="120">
        <v>0</v>
      </c>
      <c r="N8" s="120">
        <v>3</v>
      </c>
      <c r="O8" s="121">
        <v>4</v>
      </c>
      <c r="P8" s="121">
        <v>1</v>
      </c>
      <c r="Q8" s="121">
        <v>289</v>
      </c>
      <c r="R8" s="81">
        <f aca="true" t="shared" si="0" ref="R8:R51">SUM(F8:P8)</f>
        <v>290</v>
      </c>
      <c r="S8" s="145">
        <v>64.59</v>
      </c>
      <c r="T8" s="137">
        <f>100-S8</f>
        <v>35.41</v>
      </c>
    </row>
    <row r="9" spans="1:20" ht="12.75">
      <c r="A9" s="30"/>
      <c r="B9" s="73" t="s">
        <v>166</v>
      </c>
      <c r="C9" s="120">
        <v>1</v>
      </c>
      <c r="D9" s="120">
        <v>1</v>
      </c>
      <c r="E9" s="120" t="s">
        <v>40</v>
      </c>
      <c r="F9" s="120">
        <v>48</v>
      </c>
      <c r="G9" s="120">
        <v>64</v>
      </c>
      <c r="H9" s="120">
        <v>73</v>
      </c>
      <c r="I9" s="120">
        <v>28</v>
      </c>
      <c r="J9" s="120">
        <v>0</v>
      </c>
      <c r="K9" s="120">
        <v>59</v>
      </c>
      <c r="L9" s="120">
        <v>50</v>
      </c>
      <c r="M9" s="120">
        <v>0</v>
      </c>
      <c r="N9" s="120">
        <v>5</v>
      </c>
      <c r="O9" s="121">
        <v>2</v>
      </c>
      <c r="P9" s="121">
        <v>4</v>
      </c>
      <c r="Q9" s="121">
        <v>329</v>
      </c>
      <c r="R9" s="81">
        <f t="shared" si="0"/>
        <v>333</v>
      </c>
      <c r="S9" s="77">
        <v>65.29</v>
      </c>
      <c r="T9" s="137">
        <f aca="true" t="shared" si="1" ref="T9:T51">100-S9</f>
        <v>34.709999999999994</v>
      </c>
    </row>
    <row r="10" spans="1:20" ht="12.75">
      <c r="A10" s="30"/>
      <c r="B10" s="73" t="s">
        <v>167</v>
      </c>
      <c r="C10" s="120">
        <v>1</v>
      </c>
      <c r="D10" s="120">
        <v>2</v>
      </c>
      <c r="E10" s="120" t="s">
        <v>39</v>
      </c>
      <c r="F10" s="120">
        <v>31</v>
      </c>
      <c r="G10" s="120">
        <v>65</v>
      </c>
      <c r="H10" s="120">
        <v>55</v>
      </c>
      <c r="I10" s="120">
        <v>17</v>
      </c>
      <c r="J10" s="120">
        <v>0</v>
      </c>
      <c r="K10" s="120">
        <v>74</v>
      </c>
      <c r="L10" s="120">
        <v>29</v>
      </c>
      <c r="M10" s="120">
        <v>0</v>
      </c>
      <c r="N10" s="120">
        <v>9</v>
      </c>
      <c r="O10" s="121">
        <v>1</v>
      </c>
      <c r="P10" s="121">
        <v>3</v>
      </c>
      <c r="Q10" s="121">
        <v>281</v>
      </c>
      <c r="R10" s="81">
        <f t="shared" si="0"/>
        <v>284</v>
      </c>
      <c r="S10" s="77">
        <v>62.01</v>
      </c>
      <c r="T10" s="137">
        <f t="shared" si="1"/>
        <v>37.99</v>
      </c>
    </row>
    <row r="11" spans="1:20" ht="12.75">
      <c r="A11" s="30"/>
      <c r="B11" s="73" t="s">
        <v>167</v>
      </c>
      <c r="C11" s="120">
        <v>1</v>
      </c>
      <c r="D11" s="120">
        <v>2</v>
      </c>
      <c r="E11" s="120" t="s">
        <v>40</v>
      </c>
      <c r="F11" s="120">
        <v>34</v>
      </c>
      <c r="G11" s="120">
        <v>66</v>
      </c>
      <c r="H11" s="120">
        <v>66</v>
      </c>
      <c r="I11" s="120">
        <v>30</v>
      </c>
      <c r="J11" s="120">
        <v>1</v>
      </c>
      <c r="K11" s="120">
        <v>81</v>
      </c>
      <c r="L11" s="120">
        <v>28</v>
      </c>
      <c r="M11" s="120">
        <v>1</v>
      </c>
      <c r="N11" s="120">
        <v>5</v>
      </c>
      <c r="O11" s="121">
        <v>3</v>
      </c>
      <c r="P11" s="121">
        <v>2</v>
      </c>
      <c r="Q11" s="121">
        <v>315</v>
      </c>
      <c r="R11" s="81">
        <f t="shared" si="0"/>
        <v>317</v>
      </c>
      <c r="S11" s="77">
        <v>65.9</v>
      </c>
      <c r="T11" s="137">
        <f t="shared" si="1"/>
        <v>34.099999999999994</v>
      </c>
    </row>
    <row r="12" spans="1:20" ht="12.75">
      <c r="A12" s="30"/>
      <c r="B12" s="73" t="s">
        <v>166</v>
      </c>
      <c r="C12" s="120">
        <v>1</v>
      </c>
      <c r="D12" s="120">
        <v>3</v>
      </c>
      <c r="E12" s="120" t="s">
        <v>39</v>
      </c>
      <c r="F12" s="120">
        <v>54</v>
      </c>
      <c r="G12" s="120">
        <v>56</v>
      </c>
      <c r="H12" s="120">
        <v>29</v>
      </c>
      <c r="I12" s="120">
        <v>77</v>
      </c>
      <c r="J12" s="120">
        <v>0</v>
      </c>
      <c r="K12" s="120">
        <v>102</v>
      </c>
      <c r="L12" s="120">
        <v>52</v>
      </c>
      <c r="M12" s="120">
        <v>0</v>
      </c>
      <c r="N12" s="120">
        <v>7</v>
      </c>
      <c r="O12" s="121">
        <v>2</v>
      </c>
      <c r="P12" s="121">
        <v>1</v>
      </c>
      <c r="Q12" s="121">
        <v>379</v>
      </c>
      <c r="R12" s="81">
        <f t="shared" si="0"/>
        <v>380</v>
      </c>
      <c r="S12" s="77">
        <v>63.23</v>
      </c>
      <c r="T12" s="137">
        <f t="shared" si="1"/>
        <v>36.77</v>
      </c>
    </row>
    <row r="13" spans="1:20" ht="12.75">
      <c r="A13" s="30"/>
      <c r="B13" s="73" t="s">
        <v>166</v>
      </c>
      <c r="C13" s="120">
        <v>1</v>
      </c>
      <c r="D13" s="120">
        <v>3</v>
      </c>
      <c r="E13" s="120" t="s">
        <v>40</v>
      </c>
      <c r="F13" s="120">
        <v>91</v>
      </c>
      <c r="G13" s="120">
        <v>50</v>
      </c>
      <c r="H13" s="120">
        <v>37</v>
      </c>
      <c r="I13" s="120">
        <v>49</v>
      </c>
      <c r="J13" s="120">
        <v>1</v>
      </c>
      <c r="K13" s="120">
        <v>122</v>
      </c>
      <c r="L13" s="120">
        <v>57</v>
      </c>
      <c r="M13" s="120">
        <v>1</v>
      </c>
      <c r="N13" s="120">
        <v>8</v>
      </c>
      <c r="O13" s="121">
        <v>2</v>
      </c>
      <c r="P13" s="121">
        <v>6</v>
      </c>
      <c r="Q13" s="121">
        <v>418</v>
      </c>
      <c r="R13" s="81">
        <f t="shared" si="0"/>
        <v>424</v>
      </c>
      <c r="S13" s="77">
        <v>65.94</v>
      </c>
      <c r="T13" s="137">
        <f t="shared" si="1"/>
        <v>34.06</v>
      </c>
    </row>
    <row r="14" spans="1:20" ht="12.75">
      <c r="A14" s="30"/>
      <c r="B14" s="73" t="s">
        <v>94</v>
      </c>
      <c r="C14" s="120">
        <v>2</v>
      </c>
      <c r="D14" s="120">
        <v>1</v>
      </c>
      <c r="E14" s="120" t="s">
        <v>39</v>
      </c>
      <c r="F14" s="120">
        <v>36</v>
      </c>
      <c r="G14" s="120">
        <v>42</v>
      </c>
      <c r="H14" s="120">
        <v>39</v>
      </c>
      <c r="I14" s="120">
        <v>15</v>
      </c>
      <c r="J14" s="120">
        <v>0</v>
      </c>
      <c r="K14" s="120">
        <v>63</v>
      </c>
      <c r="L14" s="120">
        <v>24</v>
      </c>
      <c r="M14" s="120">
        <v>0</v>
      </c>
      <c r="N14" s="120">
        <v>4</v>
      </c>
      <c r="O14" s="121">
        <v>1</v>
      </c>
      <c r="P14" s="121">
        <v>2</v>
      </c>
      <c r="Q14" s="121">
        <v>224</v>
      </c>
      <c r="R14" s="81">
        <f t="shared" si="0"/>
        <v>226</v>
      </c>
      <c r="S14" s="77">
        <v>57.07</v>
      </c>
      <c r="T14" s="137">
        <f t="shared" si="1"/>
        <v>42.93</v>
      </c>
    </row>
    <row r="15" spans="1:20" ht="12.75">
      <c r="A15" s="30"/>
      <c r="B15" s="73" t="s">
        <v>94</v>
      </c>
      <c r="C15" s="120">
        <v>2</v>
      </c>
      <c r="D15" s="120">
        <v>1</v>
      </c>
      <c r="E15" s="120" t="s">
        <v>40</v>
      </c>
      <c r="F15" s="120">
        <v>46</v>
      </c>
      <c r="G15" s="120">
        <v>44</v>
      </c>
      <c r="H15" s="120">
        <v>47</v>
      </c>
      <c r="I15" s="120">
        <v>24</v>
      </c>
      <c r="J15" s="120">
        <v>1</v>
      </c>
      <c r="K15" s="120">
        <v>47</v>
      </c>
      <c r="L15" s="120">
        <v>30</v>
      </c>
      <c r="M15" s="120">
        <v>0</v>
      </c>
      <c r="N15" s="120">
        <v>3</v>
      </c>
      <c r="O15" s="121">
        <v>1</v>
      </c>
      <c r="P15" s="121">
        <v>1</v>
      </c>
      <c r="Q15" s="121">
        <v>243</v>
      </c>
      <c r="R15" s="81">
        <f t="shared" si="0"/>
        <v>244</v>
      </c>
      <c r="S15" s="77">
        <v>63.87</v>
      </c>
      <c r="T15" s="137">
        <f t="shared" si="1"/>
        <v>36.13</v>
      </c>
    </row>
    <row r="16" spans="1:20" ht="12.75">
      <c r="A16" s="30"/>
      <c r="B16" s="73" t="s">
        <v>94</v>
      </c>
      <c r="C16" s="120">
        <v>2</v>
      </c>
      <c r="D16" s="120">
        <v>2</v>
      </c>
      <c r="E16" s="120" t="s">
        <v>39</v>
      </c>
      <c r="F16" s="120">
        <v>74</v>
      </c>
      <c r="G16" s="120">
        <v>39</v>
      </c>
      <c r="H16" s="120">
        <v>46</v>
      </c>
      <c r="I16" s="120">
        <v>53</v>
      </c>
      <c r="J16" s="120">
        <v>0</v>
      </c>
      <c r="K16" s="120">
        <v>76</v>
      </c>
      <c r="L16" s="120">
        <v>43</v>
      </c>
      <c r="M16" s="120">
        <v>0</v>
      </c>
      <c r="N16" s="120">
        <v>2</v>
      </c>
      <c r="O16" s="121">
        <v>3</v>
      </c>
      <c r="P16" s="121">
        <v>1</v>
      </c>
      <c r="Q16" s="121">
        <v>336</v>
      </c>
      <c r="R16" s="81">
        <f t="shared" si="0"/>
        <v>337</v>
      </c>
      <c r="S16" s="77">
        <v>52.9</v>
      </c>
      <c r="T16" s="137">
        <f t="shared" si="1"/>
        <v>47.1</v>
      </c>
    </row>
    <row r="17" spans="1:20" ht="12.75">
      <c r="A17" s="30"/>
      <c r="B17" s="73" t="s">
        <v>94</v>
      </c>
      <c r="C17" s="120">
        <v>2</v>
      </c>
      <c r="D17" s="120">
        <v>2</v>
      </c>
      <c r="E17" s="120" t="s">
        <v>40</v>
      </c>
      <c r="F17" s="120">
        <v>71</v>
      </c>
      <c r="G17" s="120">
        <v>84</v>
      </c>
      <c r="H17" s="120">
        <v>63</v>
      </c>
      <c r="I17" s="120">
        <v>32</v>
      </c>
      <c r="J17" s="120">
        <v>0</v>
      </c>
      <c r="K17" s="120">
        <v>103</v>
      </c>
      <c r="L17" s="120">
        <v>42</v>
      </c>
      <c r="M17" s="120">
        <v>1</v>
      </c>
      <c r="N17" s="120">
        <v>8</v>
      </c>
      <c r="O17" s="121">
        <v>7</v>
      </c>
      <c r="P17" s="121">
        <v>5</v>
      </c>
      <c r="Q17" s="121">
        <v>411</v>
      </c>
      <c r="R17" s="81">
        <f t="shared" si="0"/>
        <v>416</v>
      </c>
      <c r="S17" s="77">
        <v>60.12</v>
      </c>
      <c r="T17" s="137">
        <f t="shared" si="1"/>
        <v>39.88</v>
      </c>
    </row>
    <row r="18" spans="2:20" ht="12.75">
      <c r="B18" s="73" t="s">
        <v>245</v>
      </c>
      <c r="C18" s="121">
        <v>2</v>
      </c>
      <c r="D18" s="121">
        <v>3</v>
      </c>
      <c r="E18" s="122" t="s">
        <v>39</v>
      </c>
      <c r="F18" s="126">
        <v>53</v>
      </c>
      <c r="G18" s="126">
        <v>56</v>
      </c>
      <c r="H18" s="126">
        <v>29</v>
      </c>
      <c r="I18" s="126">
        <v>34</v>
      </c>
      <c r="J18" s="126">
        <v>2</v>
      </c>
      <c r="K18" s="126">
        <v>79</v>
      </c>
      <c r="L18" s="126">
        <v>41</v>
      </c>
      <c r="M18" s="126">
        <v>0</v>
      </c>
      <c r="N18" s="126">
        <v>6</v>
      </c>
      <c r="O18" s="126">
        <v>1</v>
      </c>
      <c r="P18" s="126">
        <v>1</v>
      </c>
      <c r="Q18" s="126">
        <v>301</v>
      </c>
      <c r="R18" s="81">
        <f t="shared" si="0"/>
        <v>302</v>
      </c>
      <c r="S18" s="77">
        <v>57.52</v>
      </c>
      <c r="T18" s="137">
        <f t="shared" si="1"/>
        <v>42.48</v>
      </c>
    </row>
    <row r="19" spans="2:20" ht="12.75">
      <c r="B19" s="73" t="s">
        <v>245</v>
      </c>
      <c r="C19" s="121">
        <v>2</v>
      </c>
      <c r="D19" s="121">
        <v>3</v>
      </c>
      <c r="E19" s="122" t="s">
        <v>40</v>
      </c>
      <c r="F19" s="126">
        <v>59</v>
      </c>
      <c r="G19" s="126">
        <v>42</v>
      </c>
      <c r="H19" s="126">
        <v>14</v>
      </c>
      <c r="I19" s="126">
        <v>45</v>
      </c>
      <c r="J19" s="126">
        <v>0</v>
      </c>
      <c r="K19" s="126">
        <v>81</v>
      </c>
      <c r="L19" s="126">
        <v>67</v>
      </c>
      <c r="M19" s="126">
        <v>0</v>
      </c>
      <c r="N19" s="126">
        <v>7</v>
      </c>
      <c r="O19" s="127">
        <v>1</v>
      </c>
      <c r="P19" s="127">
        <v>1</v>
      </c>
      <c r="Q19" s="127">
        <v>316</v>
      </c>
      <c r="R19" s="81">
        <f t="shared" si="0"/>
        <v>317</v>
      </c>
      <c r="S19" s="77">
        <v>58.06</v>
      </c>
      <c r="T19" s="137">
        <f t="shared" si="1"/>
        <v>41.94</v>
      </c>
    </row>
    <row r="20" spans="2:20" ht="12.75">
      <c r="B20" s="73" t="s">
        <v>245</v>
      </c>
      <c r="C20" s="122">
        <v>2</v>
      </c>
      <c r="D20" s="122">
        <v>3</v>
      </c>
      <c r="E20" s="122" t="s">
        <v>92</v>
      </c>
      <c r="F20" s="126">
        <v>66</v>
      </c>
      <c r="G20" s="126">
        <v>46</v>
      </c>
      <c r="H20" s="126">
        <v>20</v>
      </c>
      <c r="I20" s="126">
        <v>42</v>
      </c>
      <c r="J20" s="126">
        <v>1</v>
      </c>
      <c r="K20" s="126">
        <v>82</v>
      </c>
      <c r="L20" s="126">
        <v>59</v>
      </c>
      <c r="M20" s="126">
        <v>1</v>
      </c>
      <c r="N20" s="126">
        <v>5</v>
      </c>
      <c r="O20" s="127">
        <v>2</v>
      </c>
      <c r="P20" s="127">
        <v>3</v>
      </c>
      <c r="Q20" s="127">
        <v>324</v>
      </c>
      <c r="R20" s="81">
        <f t="shared" si="0"/>
        <v>327</v>
      </c>
      <c r="S20" s="77">
        <v>60.67</v>
      </c>
      <c r="T20" s="137">
        <f t="shared" si="1"/>
        <v>39.33</v>
      </c>
    </row>
    <row r="21" spans="2:20" ht="12.75">
      <c r="B21" s="73" t="s">
        <v>168</v>
      </c>
      <c r="C21" s="122">
        <v>2</v>
      </c>
      <c r="D21" s="122">
        <v>4</v>
      </c>
      <c r="E21" s="122" t="s">
        <v>39</v>
      </c>
      <c r="F21" s="126">
        <v>68</v>
      </c>
      <c r="G21" s="126">
        <v>48</v>
      </c>
      <c r="H21" s="126">
        <v>39</v>
      </c>
      <c r="I21" s="126">
        <v>62</v>
      </c>
      <c r="J21" s="126">
        <v>2</v>
      </c>
      <c r="K21" s="126">
        <v>139</v>
      </c>
      <c r="L21" s="126">
        <v>70</v>
      </c>
      <c r="M21" s="126">
        <v>3</v>
      </c>
      <c r="N21" s="126">
        <v>12</v>
      </c>
      <c r="O21" s="126">
        <v>6</v>
      </c>
      <c r="P21" s="127">
        <v>5</v>
      </c>
      <c r="Q21" s="127">
        <v>449</v>
      </c>
      <c r="R21" s="81">
        <f t="shared" si="0"/>
        <v>454</v>
      </c>
      <c r="S21" s="77">
        <v>56.4</v>
      </c>
      <c r="T21" s="137">
        <f t="shared" si="1"/>
        <v>43.6</v>
      </c>
    </row>
    <row r="22" spans="2:20" ht="12.75">
      <c r="B22" s="73" t="s">
        <v>168</v>
      </c>
      <c r="C22" s="121">
        <v>2</v>
      </c>
      <c r="D22" s="121">
        <v>4</v>
      </c>
      <c r="E22" s="122" t="s">
        <v>40</v>
      </c>
      <c r="F22" s="126">
        <v>68</v>
      </c>
      <c r="G22" s="126">
        <v>51</v>
      </c>
      <c r="H22" s="126">
        <v>46</v>
      </c>
      <c r="I22" s="126">
        <v>60</v>
      </c>
      <c r="J22" s="126">
        <v>1</v>
      </c>
      <c r="K22" s="126">
        <v>130</v>
      </c>
      <c r="L22" s="126">
        <v>64</v>
      </c>
      <c r="M22" s="126">
        <v>1</v>
      </c>
      <c r="N22" s="126">
        <v>5</v>
      </c>
      <c r="O22" s="126">
        <v>2</v>
      </c>
      <c r="P22" s="127">
        <v>7</v>
      </c>
      <c r="Q22" s="127">
        <v>128</v>
      </c>
      <c r="R22" s="81">
        <f t="shared" si="0"/>
        <v>435</v>
      </c>
      <c r="S22" s="77">
        <v>57.09</v>
      </c>
      <c r="T22" s="137">
        <f t="shared" si="1"/>
        <v>42.91</v>
      </c>
    </row>
    <row r="23" spans="2:20" ht="12.75">
      <c r="B23" s="73" t="s">
        <v>168</v>
      </c>
      <c r="C23" s="121">
        <v>2</v>
      </c>
      <c r="D23" s="121">
        <v>5</v>
      </c>
      <c r="E23" s="122" t="s">
        <v>39</v>
      </c>
      <c r="F23" s="126">
        <v>49</v>
      </c>
      <c r="G23" s="126">
        <v>41</v>
      </c>
      <c r="H23" s="126">
        <v>22</v>
      </c>
      <c r="I23" s="126">
        <v>58</v>
      </c>
      <c r="J23" s="126">
        <v>0</v>
      </c>
      <c r="K23" s="126">
        <v>110</v>
      </c>
      <c r="L23" s="126">
        <v>68</v>
      </c>
      <c r="M23" s="126">
        <v>2</v>
      </c>
      <c r="N23" s="126">
        <v>9</v>
      </c>
      <c r="O23" s="127">
        <v>2</v>
      </c>
      <c r="P23" s="127">
        <v>5</v>
      </c>
      <c r="Q23" s="127">
        <v>361</v>
      </c>
      <c r="R23" s="81">
        <f t="shared" si="0"/>
        <v>366</v>
      </c>
      <c r="S23" s="77">
        <v>63.21</v>
      </c>
      <c r="T23" s="137">
        <f t="shared" si="1"/>
        <v>36.79</v>
      </c>
    </row>
    <row r="24" spans="2:20" ht="12.75">
      <c r="B24" s="73" t="s">
        <v>168</v>
      </c>
      <c r="C24" s="121">
        <v>2</v>
      </c>
      <c r="D24" s="121">
        <v>5</v>
      </c>
      <c r="E24" s="122" t="s">
        <v>40</v>
      </c>
      <c r="F24" s="126">
        <v>81</v>
      </c>
      <c r="G24" s="126">
        <v>37</v>
      </c>
      <c r="H24" s="126">
        <v>12</v>
      </c>
      <c r="I24" s="126">
        <v>74</v>
      </c>
      <c r="J24" s="126">
        <v>0</v>
      </c>
      <c r="K24" s="126">
        <v>100</v>
      </c>
      <c r="L24" s="126">
        <v>73</v>
      </c>
      <c r="M24" s="126">
        <v>1</v>
      </c>
      <c r="N24" s="126">
        <v>8</v>
      </c>
      <c r="O24" s="127">
        <v>1</v>
      </c>
      <c r="P24" s="127">
        <v>7</v>
      </c>
      <c r="Q24" s="127">
        <v>387</v>
      </c>
      <c r="R24" s="81">
        <f>SUM(F24:P24)</f>
        <v>394</v>
      </c>
      <c r="S24" s="77">
        <v>65.02</v>
      </c>
      <c r="T24" s="137">
        <f t="shared" si="1"/>
        <v>34.980000000000004</v>
      </c>
    </row>
    <row r="25" spans="2:20" ht="12.75">
      <c r="B25" s="73" t="s">
        <v>168</v>
      </c>
      <c r="C25" s="121">
        <v>2</v>
      </c>
      <c r="D25" s="121">
        <v>5</v>
      </c>
      <c r="E25" s="122" t="s">
        <v>92</v>
      </c>
      <c r="F25" s="126">
        <v>86</v>
      </c>
      <c r="G25" s="126">
        <v>44</v>
      </c>
      <c r="H25" s="126">
        <v>16</v>
      </c>
      <c r="I25" s="126">
        <v>66</v>
      </c>
      <c r="J25" s="126">
        <v>0</v>
      </c>
      <c r="K25" s="126">
        <v>97</v>
      </c>
      <c r="L25" s="126">
        <v>71</v>
      </c>
      <c r="M25" s="126">
        <v>2</v>
      </c>
      <c r="N25" s="126">
        <v>9</v>
      </c>
      <c r="O25" s="127">
        <v>1</v>
      </c>
      <c r="P25" s="127">
        <v>1</v>
      </c>
      <c r="Q25" s="127">
        <v>392</v>
      </c>
      <c r="R25" s="81">
        <f t="shared" si="0"/>
        <v>393</v>
      </c>
      <c r="S25" s="77">
        <v>60.65</v>
      </c>
      <c r="T25" s="137">
        <f t="shared" si="1"/>
        <v>39.35</v>
      </c>
    </row>
    <row r="26" spans="2:20" ht="12.75">
      <c r="B26" s="73" t="s">
        <v>97</v>
      </c>
      <c r="C26" s="121">
        <v>3</v>
      </c>
      <c r="D26" s="121">
        <v>1</v>
      </c>
      <c r="E26" s="122" t="s">
        <v>39</v>
      </c>
      <c r="F26" s="126">
        <v>57</v>
      </c>
      <c r="G26" s="126">
        <v>78</v>
      </c>
      <c r="H26" s="126">
        <v>30</v>
      </c>
      <c r="I26" s="126">
        <v>36</v>
      </c>
      <c r="J26" s="126">
        <v>0</v>
      </c>
      <c r="K26" s="126">
        <v>84</v>
      </c>
      <c r="L26" s="126">
        <v>45</v>
      </c>
      <c r="M26" s="126">
        <v>0</v>
      </c>
      <c r="N26" s="126">
        <v>10</v>
      </c>
      <c r="O26" s="127">
        <v>3</v>
      </c>
      <c r="P26" s="127">
        <v>9</v>
      </c>
      <c r="Q26" s="127">
        <v>343</v>
      </c>
      <c r="R26" s="81">
        <f t="shared" si="0"/>
        <v>352</v>
      </c>
      <c r="S26" s="77">
        <v>64.23</v>
      </c>
      <c r="T26" s="137">
        <f t="shared" si="1"/>
        <v>35.769999999999996</v>
      </c>
    </row>
    <row r="27" spans="2:20" ht="12.75">
      <c r="B27" s="73" t="s">
        <v>97</v>
      </c>
      <c r="C27" s="121">
        <v>3</v>
      </c>
      <c r="D27" s="121">
        <v>1</v>
      </c>
      <c r="E27" s="122" t="s">
        <v>40</v>
      </c>
      <c r="F27" s="126">
        <v>77</v>
      </c>
      <c r="G27" s="126">
        <v>77</v>
      </c>
      <c r="H27" s="126">
        <v>41</v>
      </c>
      <c r="I27" s="126">
        <v>21</v>
      </c>
      <c r="J27" s="126">
        <v>0</v>
      </c>
      <c r="K27" s="126">
        <v>94</v>
      </c>
      <c r="L27" s="126">
        <v>45</v>
      </c>
      <c r="M27" s="126">
        <v>0</v>
      </c>
      <c r="N27" s="126">
        <v>10</v>
      </c>
      <c r="O27" s="127">
        <v>2</v>
      </c>
      <c r="P27" s="127">
        <v>4</v>
      </c>
      <c r="Q27" s="127">
        <v>367</v>
      </c>
      <c r="R27" s="81">
        <f t="shared" si="0"/>
        <v>371</v>
      </c>
      <c r="S27" s="77">
        <v>65.2</v>
      </c>
      <c r="T27" s="137">
        <f t="shared" si="1"/>
        <v>34.8</v>
      </c>
    </row>
    <row r="28" spans="2:20" ht="12.75">
      <c r="B28" s="73" t="s">
        <v>98</v>
      </c>
      <c r="C28" s="121">
        <v>3</v>
      </c>
      <c r="D28" s="121">
        <v>2</v>
      </c>
      <c r="E28" s="122" t="s">
        <v>39</v>
      </c>
      <c r="F28" s="126">
        <v>73</v>
      </c>
      <c r="G28" s="126">
        <v>50</v>
      </c>
      <c r="H28" s="126">
        <v>38</v>
      </c>
      <c r="I28" s="126">
        <v>61</v>
      </c>
      <c r="J28" s="126">
        <v>0</v>
      </c>
      <c r="K28" s="126">
        <v>135</v>
      </c>
      <c r="L28" s="126">
        <v>72</v>
      </c>
      <c r="M28" s="126">
        <v>1</v>
      </c>
      <c r="N28" s="126">
        <v>14</v>
      </c>
      <c r="O28" s="126">
        <v>2</v>
      </c>
      <c r="P28" s="126">
        <v>2</v>
      </c>
      <c r="Q28" s="126">
        <v>446</v>
      </c>
      <c r="R28" s="81">
        <f t="shared" si="0"/>
        <v>448</v>
      </c>
      <c r="S28" s="77">
        <v>58.26</v>
      </c>
      <c r="T28" s="137">
        <f t="shared" si="1"/>
        <v>41.74</v>
      </c>
    </row>
    <row r="29" spans="2:20" ht="12.75">
      <c r="B29" s="73" t="s">
        <v>98</v>
      </c>
      <c r="C29" s="121">
        <v>3</v>
      </c>
      <c r="D29" s="121">
        <v>2</v>
      </c>
      <c r="E29" s="122" t="s">
        <v>40</v>
      </c>
      <c r="F29" s="126">
        <v>95</v>
      </c>
      <c r="G29" s="126">
        <v>71</v>
      </c>
      <c r="H29" s="126">
        <v>34</v>
      </c>
      <c r="I29" s="126">
        <v>72</v>
      </c>
      <c r="J29" s="126">
        <v>0</v>
      </c>
      <c r="K29" s="126">
        <v>123</v>
      </c>
      <c r="L29" s="126">
        <v>81</v>
      </c>
      <c r="M29" s="126">
        <v>0</v>
      </c>
      <c r="N29" s="126">
        <v>7</v>
      </c>
      <c r="O29" s="127">
        <v>3</v>
      </c>
      <c r="P29" s="127">
        <v>2</v>
      </c>
      <c r="Q29" s="127">
        <v>486</v>
      </c>
      <c r="R29" s="81">
        <f t="shared" si="0"/>
        <v>488</v>
      </c>
      <c r="S29" s="77">
        <v>63.71</v>
      </c>
      <c r="T29" s="137">
        <f t="shared" si="1"/>
        <v>36.29</v>
      </c>
    </row>
    <row r="30" spans="2:20" ht="12.75">
      <c r="B30" s="73" t="s">
        <v>170</v>
      </c>
      <c r="C30" s="121">
        <v>3</v>
      </c>
      <c r="D30" s="121">
        <v>3</v>
      </c>
      <c r="E30" s="122" t="s">
        <v>39</v>
      </c>
      <c r="F30" s="126">
        <v>62</v>
      </c>
      <c r="G30" s="126">
        <v>56</v>
      </c>
      <c r="H30" s="126">
        <v>37</v>
      </c>
      <c r="I30" s="126">
        <v>66</v>
      </c>
      <c r="J30" s="126">
        <v>0</v>
      </c>
      <c r="K30" s="126">
        <v>101</v>
      </c>
      <c r="L30" s="126">
        <v>72</v>
      </c>
      <c r="M30" s="126">
        <v>1</v>
      </c>
      <c r="N30" s="126">
        <v>4</v>
      </c>
      <c r="O30" s="127">
        <v>3</v>
      </c>
      <c r="P30" s="127">
        <v>4</v>
      </c>
      <c r="Q30" s="127">
        <v>402</v>
      </c>
      <c r="R30" s="81">
        <f t="shared" si="0"/>
        <v>406</v>
      </c>
      <c r="S30" s="77">
        <v>60.42</v>
      </c>
      <c r="T30" s="137">
        <f t="shared" si="1"/>
        <v>39.58</v>
      </c>
    </row>
    <row r="31" spans="2:20" ht="12.75">
      <c r="B31" s="73" t="s">
        <v>170</v>
      </c>
      <c r="C31" s="121">
        <v>3</v>
      </c>
      <c r="D31" s="121">
        <v>3</v>
      </c>
      <c r="E31" s="121" t="s">
        <v>40</v>
      </c>
      <c r="F31" s="126">
        <v>59</v>
      </c>
      <c r="G31" s="126">
        <v>56</v>
      </c>
      <c r="H31" s="126">
        <v>52</v>
      </c>
      <c r="I31" s="126">
        <v>52</v>
      </c>
      <c r="J31" s="126">
        <v>1</v>
      </c>
      <c r="K31" s="126">
        <v>81</v>
      </c>
      <c r="L31" s="126">
        <v>62</v>
      </c>
      <c r="M31" s="126">
        <v>1</v>
      </c>
      <c r="N31" s="126">
        <v>7</v>
      </c>
      <c r="O31" s="127">
        <v>5</v>
      </c>
      <c r="P31" s="127">
        <v>3</v>
      </c>
      <c r="Q31" s="127">
        <v>376</v>
      </c>
      <c r="R31" s="81">
        <f t="shared" si="0"/>
        <v>379</v>
      </c>
      <c r="S31" s="77">
        <v>62.13</v>
      </c>
      <c r="T31" s="137">
        <f t="shared" si="1"/>
        <v>37.87</v>
      </c>
    </row>
    <row r="32" spans="2:20" ht="12.75">
      <c r="B32" s="73" t="s">
        <v>246</v>
      </c>
      <c r="C32" s="121">
        <v>3</v>
      </c>
      <c r="D32" s="121">
        <v>4</v>
      </c>
      <c r="E32" s="121" t="s">
        <v>39</v>
      </c>
      <c r="F32" s="126">
        <v>90</v>
      </c>
      <c r="G32" s="126">
        <v>49</v>
      </c>
      <c r="H32" s="126">
        <v>24</v>
      </c>
      <c r="I32" s="126">
        <v>51</v>
      </c>
      <c r="J32" s="126">
        <v>0</v>
      </c>
      <c r="K32" s="126">
        <v>97</v>
      </c>
      <c r="L32" s="126">
        <v>48</v>
      </c>
      <c r="M32" s="126">
        <v>2</v>
      </c>
      <c r="N32" s="126">
        <v>7</v>
      </c>
      <c r="O32" s="126">
        <v>3</v>
      </c>
      <c r="P32" s="126">
        <v>4</v>
      </c>
      <c r="Q32" s="126">
        <v>371</v>
      </c>
      <c r="R32" s="81">
        <f t="shared" si="0"/>
        <v>375</v>
      </c>
      <c r="S32" s="77">
        <v>60.68</v>
      </c>
      <c r="T32" s="137">
        <f t="shared" si="1"/>
        <v>39.32</v>
      </c>
    </row>
    <row r="33" spans="2:20" ht="12.75">
      <c r="B33" s="73" t="s">
        <v>246</v>
      </c>
      <c r="C33" s="121">
        <v>3</v>
      </c>
      <c r="D33" s="121">
        <v>4</v>
      </c>
      <c r="E33" s="122" t="s">
        <v>40</v>
      </c>
      <c r="F33" s="126">
        <v>82</v>
      </c>
      <c r="G33" s="126">
        <v>45</v>
      </c>
      <c r="H33" s="126">
        <v>30</v>
      </c>
      <c r="I33" s="126">
        <v>55</v>
      </c>
      <c r="J33" s="126">
        <v>1</v>
      </c>
      <c r="K33" s="126">
        <v>113</v>
      </c>
      <c r="L33" s="126">
        <v>47</v>
      </c>
      <c r="M33" s="126">
        <v>1</v>
      </c>
      <c r="N33" s="126">
        <v>14</v>
      </c>
      <c r="O33" s="126">
        <v>5</v>
      </c>
      <c r="P33" s="126">
        <v>3</v>
      </c>
      <c r="Q33" s="126">
        <v>393</v>
      </c>
      <c r="R33" s="81">
        <f t="shared" si="0"/>
        <v>396</v>
      </c>
      <c r="S33" s="77">
        <v>64.71</v>
      </c>
      <c r="T33" s="137">
        <f t="shared" si="1"/>
        <v>35.290000000000006</v>
      </c>
    </row>
    <row r="34" spans="2:20" ht="12.75">
      <c r="B34" s="73" t="s">
        <v>247</v>
      </c>
      <c r="C34" s="121">
        <v>3</v>
      </c>
      <c r="D34" s="121">
        <v>5</v>
      </c>
      <c r="E34" s="122" t="s">
        <v>39</v>
      </c>
      <c r="F34" s="126">
        <v>48</v>
      </c>
      <c r="G34" s="126">
        <v>64</v>
      </c>
      <c r="H34" s="126">
        <v>24</v>
      </c>
      <c r="I34" s="126">
        <v>39</v>
      </c>
      <c r="J34" s="126">
        <v>0</v>
      </c>
      <c r="K34" s="126">
        <v>67</v>
      </c>
      <c r="L34" s="126">
        <v>26</v>
      </c>
      <c r="M34" s="126">
        <v>1</v>
      </c>
      <c r="N34" s="126">
        <v>11</v>
      </c>
      <c r="O34" s="126">
        <v>0</v>
      </c>
      <c r="P34" s="126">
        <v>1</v>
      </c>
      <c r="Q34" s="126">
        <v>280</v>
      </c>
      <c r="R34" s="81">
        <f t="shared" si="0"/>
        <v>281</v>
      </c>
      <c r="S34" s="77">
        <v>61.76</v>
      </c>
      <c r="T34" s="137">
        <f t="shared" si="1"/>
        <v>38.24</v>
      </c>
    </row>
    <row r="35" spans="2:20" ht="12.75">
      <c r="B35" s="73" t="s">
        <v>247</v>
      </c>
      <c r="C35" s="121">
        <v>3</v>
      </c>
      <c r="D35" s="121">
        <v>5</v>
      </c>
      <c r="E35" s="122" t="s">
        <v>40</v>
      </c>
      <c r="F35" s="126">
        <v>46</v>
      </c>
      <c r="G35" s="126">
        <v>61</v>
      </c>
      <c r="H35" s="126">
        <v>31</v>
      </c>
      <c r="I35" s="126">
        <v>38</v>
      </c>
      <c r="J35" s="126">
        <v>0</v>
      </c>
      <c r="K35" s="126">
        <v>67</v>
      </c>
      <c r="L35" s="126">
        <v>29</v>
      </c>
      <c r="M35" s="126">
        <v>1</v>
      </c>
      <c r="N35" s="126">
        <v>4</v>
      </c>
      <c r="O35" s="126">
        <v>2</v>
      </c>
      <c r="P35" s="126">
        <v>0</v>
      </c>
      <c r="Q35" s="126">
        <v>279</v>
      </c>
      <c r="R35" s="81">
        <f t="shared" si="0"/>
        <v>279</v>
      </c>
      <c r="S35" s="77">
        <v>62</v>
      </c>
      <c r="T35" s="137">
        <f t="shared" si="1"/>
        <v>38</v>
      </c>
    </row>
    <row r="36" spans="2:20" ht="12.75">
      <c r="B36" s="73" t="s">
        <v>98</v>
      </c>
      <c r="C36" s="121">
        <v>3</v>
      </c>
      <c r="D36" s="121">
        <v>6</v>
      </c>
      <c r="E36" s="122" t="s">
        <v>39</v>
      </c>
      <c r="F36" s="126">
        <v>77</v>
      </c>
      <c r="G36" s="126">
        <v>82</v>
      </c>
      <c r="H36" s="126">
        <v>68</v>
      </c>
      <c r="I36" s="126">
        <v>39</v>
      </c>
      <c r="J36" s="126">
        <v>0</v>
      </c>
      <c r="K36" s="126">
        <v>108</v>
      </c>
      <c r="L36" s="126">
        <v>75</v>
      </c>
      <c r="M36" s="126">
        <v>0</v>
      </c>
      <c r="N36" s="126">
        <v>9</v>
      </c>
      <c r="O36" s="126">
        <v>3</v>
      </c>
      <c r="P36" s="126">
        <v>5</v>
      </c>
      <c r="Q36" s="126">
        <v>461</v>
      </c>
      <c r="R36" s="81">
        <f t="shared" si="0"/>
        <v>466</v>
      </c>
      <c r="S36" s="77">
        <v>63.06</v>
      </c>
      <c r="T36" s="137">
        <f t="shared" si="1"/>
        <v>36.94</v>
      </c>
    </row>
    <row r="37" spans="2:20" ht="12.75">
      <c r="B37" s="73" t="s">
        <v>98</v>
      </c>
      <c r="C37" s="121">
        <v>3</v>
      </c>
      <c r="D37" s="121">
        <v>6</v>
      </c>
      <c r="E37" s="122" t="s">
        <v>40</v>
      </c>
      <c r="F37" s="126">
        <v>74</v>
      </c>
      <c r="G37" s="126">
        <v>99</v>
      </c>
      <c r="H37" s="126">
        <v>59</v>
      </c>
      <c r="I37" s="126">
        <v>39</v>
      </c>
      <c r="J37" s="126">
        <v>1</v>
      </c>
      <c r="K37" s="126">
        <v>100</v>
      </c>
      <c r="L37" s="126">
        <v>57</v>
      </c>
      <c r="M37" s="126">
        <v>3</v>
      </c>
      <c r="N37" s="126">
        <v>10</v>
      </c>
      <c r="O37" s="126">
        <v>4</v>
      </c>
      <c r="P37" s="126">
        <v>5</v>
      </c>
      <c r="Q37" s="126">
        <v>446</v>
      </c>
      <c r="R37" s="81">
        <f t="shared" si="0"/>
        <v>451</v>
      </c>
      <c r="S37" s="77">
        <v>62.9</v>
      </c>
      <c r="T37" s="137">
        <f t="shared" si="1"/>
        <v>37.1</v>
      </c>
    </row>
    <row r="38" spans="2:20" ht="12.75">
      <c r="B38" s="73" t="s">
        <v>170</v>
      </c>
      <c r="C38" s="121">
        <v>3</v>
      </c>
      <c r="D38" s="121">
        <v>7</v>
      </c>
      <c r="E38" s="122" t="s">
        <v>39</v>
      </c>
      <c r="F38" s="126">
        <v>34</v>
      </c>
      <c r="G38" s="126">
        <v>29</v>
      </c>
      <c r="H38" s="126">
        <v>34</v>
      </c>
      <c r="I38" s="126">
        <v>40</v>
      </c>
      <c r="J38" s="126">
        <v>0</v>
      </c>
      <c r="K38" s="126">
        <v>58</v>
      </c>
      <c r="L38" s="126">
        <v>50</v>
      </c>
      <c r="M38" s="126">
        <v>0</v>
      </c>
      <c r="N38" s="126">
        <v>8</v>
      </c>
      <c r="O38" s="126">
        <v>1</v>
      </c>
      <c r="P38" s="126">
        <v>1</v>
      </c>
      <c r="Q38" s="126">
        <v>254</v>
      </c>
      <c r="R38" s="81">
        <f t="shared" si="0"/>
        <v>255</v>
      </c>
      <c r="S38" s="77">
        <v>57.43</v>
      </c>
      <c r="T38" s="137">
        <f t="shared" si="1"/>
        <v>42.57</v>
      </c>
    </row>
    <row r="39" spans="2:20" ht="12.75">
      <c r="B39" s="73" t="s">
        <v>170</v>
      </c>
      <c r="C39" s="121">
        <v>3</v>
      </c>
      <c r="D39" s="121">
        <v>7</v>
      </c>
      <c r="E39" s="122" t="s">
        <v>40</v>
      </c>
      <c r="F39" s="126">
        <v>36</v>
      </c>
      <c r="G39" s="126">
        <v>34</v>
      </c>
      <c r="H39" s="126">
        <v>29</v>
      </c>
      <c r="I39" s="126">
        <v>51</v>
      </c>
      <c r="J39" s="126">
        <v>0</v>
      </c>
      <c r="K39" s="126">
        <v>68</v>
      </c>
      <c r="L39" s="126">
        <v>49</v>
      </c>
      <c r="M39" s="126">
        <v>3</v>
      </c>
      <c r="N39" s="126">
        <v>6</v>
      </c>
      <c r="O39" s="126">
        <v>0</v>
      </c>
      <c r="P39" s="126">
        <v>1</v>
      </c>
      <c r="Q39" s="126">
        <v>276</v>
      </c>
      <c r="R39" s="81">
        <f t="shared" si="0"/>
        <v>277</v>
      </c>
      <c r="S39" s="77">
        <v>66.11</v>
      </c>
      <c r="T39" s="137">
        <f t="shared" si="1"/>
        <v>33.89</v>
      </c>
    </row>
    <row r="40" spans="2:20" ht="12.75">
      <c r="B40" s="73" t="s">
        <v>102</v>
      </c>
      <c r="C40" s="121">
        <v>3</v>
      </c>
      <c r="D40" s="121">
        <v>8</v>
      </c>
      <c r="E40" s="122" t="s">
        <v>39</v>
      </c>
      <c r="F40" s="126">
        <v>66</v>
      </c>
      <c r="G40" s="126">
        <v>26</v>
      </c>
      <c r="H40" s="126">
        <v>10</v>
      </c>
      <c r="I40" s="126">
        <v>51</v>
      </c>
      <c r="J40" s="126">
        <v>1</v>
      </c>
      <c r="K40" s="126">
        <v>71</v>
      </c>
      <c r="L40" s="126">
        <v>60</v>
      </c>
      <c r="M40" s="126">
        <v>2</v>
      </c>
      <c r="N40" s="126">
        <v>7</v>
      </c>
      <c r="O40" s="127">
        <v>1</v>
      </c>
      <c r="P40" s="127">
        <v>5</v>
      </c>
      <c r="Q40" s="127">
        <v>295</v>
      </c>
      <c r="R40" s="81">
        <f t="shared" si="0"/>
        <v>300</v>
      </c>
      <c r="S40" s="77">
        <v>63.83</v>
      </c>
      <c r="T40" s="137">
        <f t="shared" si="1"/>
        <v>36.17</v>
      </c>
    </row>
    <row r="41" spans="2:20" ht="12.75">
      <c r="B41" s="73" t="s">
        <v>102</v>
      </c>
      <c r="C41" s="121">
        <v>3</v>
      </c>
      <c r="D41" s="121">
        <v>8</v>
      </c>
      <c r="E41" s="122" t="s">
        <v>40</v>
      </c>
      <c r="F41" s="126">
        <v>74</v>
      </c>
      <c r="G41" s="126">
        <v>21</v>
      </c>
      <c r="H41" s="126">
        <v>9</v>
      </c>
      <c r="I41" s="126">
        <v>76</v>
      </c>
      <c r="J41" s="126">
        <v>0</v>
      </c>
      <c r="K41" s="126">
        <v>121</v>
      </c>
      <c r="L41" s="126">
        <v>72</v>
      </c>
      <c r="M41" s="126">
        <v>2</v>
      </c>
      <c r="N41" s="126">
        <v>11</v>
      </c>
      <c r="O41" s="126">
        <v>1</v>
      </c>
      <c r="P41" s="126">
        <v>3</v>
      </c>
      <c r="Q41" s="126">
        <v>387</v>
      </c>
      <c r="R41" s="81">
        <f t="shared" si="0"/>
        <v>390</v>
      </c>
      <c r="S41" s="77">
        <v>67.24</v>
      </c>
      <c r="T41" s="137">
        <f t="shared" si="1"/>
        <v>32.760000000000005</v>
      </c>
    </row>
    <row r="42" spans="2:20" ht="12.75">
      <c r="B42" s="73" t="s">
        <v>102</v>
      </c>
      <c r="C42" s="121">
        <v>3</v>
      </c>
      <c r="D42" s="121">
        <v>8</v>
      </c>
      <c r="E42" s="122" t="s">
        <v>92</v>
      </c>
      <c r="F42" s="126">
        <v>86</v>
      </c>
      <c r="G42" s="126">
        <v>50</v>
      </c>
      <c r="H42" s="126">
        <v>20</v>
      </c>
      <c r="I42" s="126">
        <v>59</v>
      </c>
      <c r="J42" s="126">
        <v>1</v>
      </c>
      <c r="K42" s="126">
        <v>108</v>
      </c>
      <c r="L42" s="126">
        <v>65</v>
      </c>
      <c r="M42" s="126">
        <v>1</v>
      </c>
      <c r="N42" s="126">
        <v>7</v>
      </c>
      <c r="O42" s="126">
        <v>3</v>
      </c>
      <c r="P42" s="126">
        <v>0</v>
      </c>
      <c r="Q42" s="126">
        <v>400</v>
      </c>
      <c r="R42" s="81">
        <f t="shared" si="0"/>
        <v>400</v>
      </c>
      <c r="S42" s="77">
        <v>69.81</v>
      </c>
      <c r="T42" s="137">
        <f t="shared" si="1"/>
        <v>30.189999999999998</v>
      </c>
    </row>
    <row r="43" spans="2:20" ht="12.75">
      <c r="B43" s="73" t="s">
        <v>103</v>
      </c>
      <c r="C43" s="121">
        <v>3</v>
      </c>
      <c r="D43" s="121">
        <v>9</v>
      </c>
      <c r="E43" s="122" t="s">
        <v>39</v>
      </c>
      <c r="F43" s="126">
        <v>64</v>
      </c>
      <c r="G43" s="126">
        <v>57</v>
      </c>
      <c r="H43" s="126">
        <v>37</v>
      </c>
      <c r="I43" s="126">
        <v>53</v>
      </c>
      <c r="J43" s="126">
        <v>0</v>
      </c>
      <c r="K43" s="126">
        <v>102</v>
      </c>
      <c r="L43" s="126">
        <v>49</v>
      </c>
      <c r="M43" s="126">
        <v>1</v>
      </c>
      <c r="N43" s="126">
        <v>9</v>
      </c>
      <c r="O43" s="126">
        <v>1</v>
      </c>
      <c r="P43" s="126">
        <v>2</v>
      </c>
      <c r="Q43" s="126">
        <v>373</v>
      </c>
      <c r="R43" s="81">
        <f t="shared" si="0"/>
        <v>375</v>
      </c>
      <c r="S43" s="77">
        <v>63.78</v>
      </c>
      <c r="T43" s="137">
        <f t="shared" si="1"/>
        <v>36.22</v>
      </c>
    </row>
    <row r="44" spans="2:20" ht="12.75">
      <c r="B44" s="73" t="s">
        <v>103</v>
      </c>
      <c r="C44" s="121">
        <v>3</v>
      </c>
      <c r="D44" s="121">
        <v>9</v>
      </c>
      <c r="E44" s="122" t="s">
        <v>40</v>
      </c>
      <c r="F44" s="126">
        <v>48</v>
      </c>
      <c r="G44" s="126">
        <v>55</v>
      </c>
      <c r="H44" s="126">
        <v>46</v>
      </c>
      <c r="I44" s="126">
        <v>68</v>
      </c>
      <c r="J44" s="126">
        <v>0</v>
      </c>
      <c r="K44" s="126">
        <v>106</v>
      </c>
      <c r="L44" s="126">
        <v>68</v>
      </c>
      <c r="M44" s="126">
        <v>1</v>
      </c>
      <c r="N44" s="126">
        <v>11</v>
      </c>
      <c r="O44" s="126">
        <v>3</v>
      </c>
      <c r="P44" s="126">
        <v>2</v>
      </c>
      <c r="Q44" s="126">
        <v>406</v>
      </c>
      <c r="R44" s="81">
        <f t="shared" si="0"/>
        <v>408</v>
      </c>
      <c r="S44" s="77">
        <v>64.35</v>
      </c>
      <c r="T44" s="137">
        <f t="shared" si="1"/>
        <v>35.650000000000006</v>
      </c>
    </row>
    <row r="45" spans="2:20" ht="12.75">
      <c r="B45" s="73" t="s">
        <v>102</v>
      </c>
      <c r="C45" s="121">
        <v>3</v>
      </c>
      <c r="D45" s="121">
        <v>10</v>
      </c>
      <c r="E45" s="122" t="s">
        <v>41</v>
      </c>
      <c r="F45" s="126">
        <v>97</v>
      </c>
      <c r="G45" s="126">
        <v>60</v>
      </c>
      <c r="H45" s="126">
        <v>36</v>
      </c>
      <c r="I45" s="126">
        <v>72</v>
      </c>
      <c r="J45" s="126">
        <v>1</v>
      </c>
      <c r="K45" s="126">
        <v>134</v>
      </c>
      <c r="L45" s="126">
        <v>61</v>
      </c>
      <c r="M45" s="126">
        <v>0</v>
      </c>
      <c r="N45" s="126">
        <v>12</v>
      </c>
      <c r="O45" s="126">
        <v>0</v>
      </c>
      <c r="P45" s="126">
        <v>8</v>
      </c>
      <c r="Q45" s="126">
        <v>473</v>
      </c>
      <c r="R45" s="81">
        <f t="shared" si="0"/>
        <v>481</v>
      </c>
      <c r="S45" s="77">
        <v>70.53</v>
      </c>
      <c r="T45" s="137">
        <f t="shared" si="1"/>
        <v>29.47</v>
      </c>
    </row>
    <row r="46" spans="2:20" ht="12.75">
      <c r="B46" s="73" t="s">
        <v>246</v>
      </c>
      <c r="C46" s="121">
        <v>3</v>
      </c>
      <c r="D46" s="121">
        <v>11</v>
      </c>
      <c r="E46" s="122" t="s">
        <v>39</v>
      </c>
      <c r="F46" s="126">
        <v>61</v>
      </c>
      <c r="G46" s="126">
        <v>43</v>
      </c>
      <c r="H46" s="126">
        <v>28</v>
      </c>
      <c r="I46" s="126">
        <v>69</v>
      </c>
      <c r="J46" s="126">
        <v>0</v>
      </c>
      <c r="K46" s="126">
        <v>54</v>
      </c>
      <c r="L46" s="126">
        <v>41</v>
      </c>
      <c r="M46" s="126">
        <v>1</v>
      </c>
      <c r="N46" s="126">
        <v>6</v>
      </c>
      <c r="O46" s="127">
        <v>3</v>
      </c>
      <c r="P46" s="127">
        <v>1</v>
      </c>
      <c r="Q46" s="127">
        <v>306</v>
      </c>
      <c r="R46" s="81">
        <f t="shared" si="0"/>
        <v>307</v>
      </c>
      <c r="S46" s="77">
        <v>70.41</v>
      </c>
      <c r="T46" s="137">
        <f>100-S46</f>
        <v>29.590000000000003</v>
      </c>
    </row>
    <row r="47" spans="2:20" ht="12.75">
      <c r="B47" s="73" t="s">
        <v>246</v>
      </c>
      <c r="C47" s="121">
        <v>3</v>
      </c>
      <c r="D47" s="121">
        <v>11</v>
      </c>
      <c r="E47" s="122" t="s">
        <v>40</v>
      </c>
      <c r="F47" s="126">
        <v>59</v>
      </c>
      <c r="G47" s="126">
        <v>39</v>
      </c>
      <c r="H47" s="126">
        <v>24</v>
      </c>
      <c r="I47" s="126">
        <v>65</v>
      </c>
      <c r="J47" s="126">
        <v>1</v>
      </c>
      <c r="K47" s="126">
        <v>73</v>
      </c>
      <c r="L47" s="126">
        <v>54</v>
      </c>
      <c r="M47" s="126">
        <v>2</v>
      </c>
      <c r="N47" s="126">
        <v>6</v>
      </c>
      <c r="O47" s="126">
        <v>4</v>
      </c>
      <c r="P47" s="126">
        <v>1</v>
      </c>
      <c r="Q47" s="126">
        <v>327</v>
      </c>
      <c r="R47" s="81">
        <f t="shared" si="0"/>
        <v>328</v>
      </c>
      <c r="S47" s="77">
        <v>63.08</v>
      </c>
      <c r="T47" s="137">
        <f>100-S47</f>
        <v>36.92</v>
      </c>
    </row>
    <row r="48" spans="2:20" ht="12.75">
      <c r="B48" s="73" t="s">
        <v>248</v>
      </c>
      <c r="C48" s="121">
        <v>3</v>
      </c>
      <c r="D48" s="121">
        <v>12</v>
      </c>
      <c r="E48" s="122" t="s">
        <v>39</v>
      </c>
      <c r="F48" s="126">
        <v>66</v>
      </c>
      <c r="G48" s="126">
        <v>45</v>
      </c>
      <c r="H48" s="126">
        <v>30</v>
      </c>
      <c r="I48" s="126">
        <v>62</v>
      </c>
      <c r="J48" s="126">
        <v>2</v>
      </c>
      <c r="K48" s="126">
        <v>119</v>
      </c>
      <c r="L48" s="126">
        <v>74</v>
      </c>
      <c r="M48" s="126">
        <v>1</v>
      </c>
      <c r="N48" s="126">
        <v>8</v>
      </c>
      <c r="O48" s="126">
        <v>3</v>
      </c>
      <c r="P48" s="126">
        <v>9</v>
      </c>
      <c r="Q48" s="126">
        <v>410</v>
      </c>
      <c r="R48" s="81">
        <f t="shared" si="0"/>
        <v>419</v>
      </c>
      <c r="S48" s="77">
        <v>62.07</v>
      </c>
      <c r="T48" s="137">
        <f t="shared" si="1"/>
        <v>37.93</v>
      </c>
    </row>
    <row r="49" spans="2:20" ht="12.75">
      <c r="B49" s="73" t="s">
        <v>248</v>
      </c>
      <c r="C49" s="121">
        <v>3</v>
      </c>
      <c r="D49" s="121">
        <v>12</v>
      </c>
      <c r="E49" s="122" t="s">
        <v>40</v>
      </c>
      <c r="F49" s="126">
        <v>57</v>
      </c>
      <c r="G49" s="126">
        <v>34</v>
      </c>
      <c r="H49" s="126">
        <v>25</v>
      </c>
      <c r="I49" s="126">
        <v>66</v>
      </c>
      <c r="J49" s="126">
        <v>1</v>
      </c>
      <c r="K49" s="126">
        <v>111</v>
      </c>
      <c r="L49" s="126">
        <v>88</v>
      </c>
      <c r="M49" s="126">
        <v>1</v>
      </c>
      <c r="N49" s="126">
        <v>11</v>
      </c>
      <c r="O49" s="126">
        <v>4</v>
      </c>
      <c r="P49" s="126">
        <v>1</v>
      </c>
      <c r="Q49" s="126">
        <v>398</v>
      </c>
      <c r="R49" s="81">
        <f t="shared" si="0"/>
        <v>399</v>
      </c>
      <c r="S49" s="77">
        <v>61.29</v>
      </c>
      <c r="T49" s="137">
        <f t="shared" si="1"/>
        <v>38.71</v>
      </c>
    </row>
    <row r="50" spans="2:20" ht="12.75">
      <c r="B50" s="73" t="s">
        <v>248</v>
      </c>
      <c r="C50" s="121">
        <v>3</v>
      </c>
      <c r="D50" s="121">
        <v>13</v>
      </c>
      <c r="E50" s="122" t="s">
        <v>39</v>
      </c>
      <c r="F50" s="126">
        <v>47</v>
      </c>
      <c r="G50" s="126">
        <v>15</v>
      </c>
      <c r="H50" s="126">
        <v>14</v>
      </c>
      <c r="I50" s="126">
        <v>40</v>
      </c>
      <c r="J50" s="126">
        <v>0</v>
      </c>
      <c r="K50" s="126">
        <v>100</v>
      </c>
      <c r="L50" s="126">
        <v>62</v>
      </c>
      <c r="M50" s="126">
        <v>1</v>
      </c>
      <c r="N50" s="126">
        <v>2</v>
      </c>
      <c r="O50" s="126">
        <v>2</v>
      </c>
      <c r="P50" s="126">
        <v>3</v>
      </c>
      <c r="Q50" s="126">
        <v>283</v>
      </c>
      <c r="R50" s="81">
        <f t="shared" si="0"/>
        <v>286</v>
      </c>
      <c r="S50" s="77">
        <v>66.82</v>
      </c>
      <c r="T50" s="137">
        <f t="shared" si="1"/>
        <v>33.18000000000001</v>
      </c>
    </row>
    <row r="51" spans="2:20" ht="12.75">
      <c r="B51" s="73" t="s">
        <v>248</v>
      </c>
      <c r="C51" s="122">
        <v>3</v>
      </c>
      <c r="D51" s="122">
        <v>13</v>
      </c>
      <c r="E51" s="122" t="s">
        <v>40</v>
      </c>
      <c r="F51" s="126">
        <v>46</v>
      </c>
      <c r="G51" s="126">
        <v>19</v>
      </c>
      <c r="H51" s="126">
        <v>14</v>
      </c>
      <c r="I51" s="126">
        <v>40</v>
      </c>
      <c r="J51" s="126">
        <v>0</v>
      </c>
      <c r="K51" s="126">
        <v>75</v>
      </c>
      <c r="L51" s="126">
        <v>51</v>
      </c>
      <c r="M51" s="126">
        <v>2</v>
      </c>
      <c r="N51" s="126">
        <v>4</v>
      </c>
      <c r="O51" s="127">
        <v>1</v>
      </c>
      <c r="P51" s="127">
        <v>4</v>
      </c>
      <c r="Q51" s="127">
        <v>242</v>
      </c>
      <c r="R51" s="81">
        <f t="shared" si="0"/>
        <v>256</v>
      </c>
      <c r="S51" s="77">
        <v>67.21</v>
      </c>
      <c r="T51" s="137">
        <f t="shared" si="1"/>
        <v>32.790000000000006</v>
      </c>
    </row>
    <row r="52" spans="2:20" ht="12.75">
      <c r="B52" s="6"/>
      <c r="C52" s="7"/>
      <c r="D52" s="7"/>
      <c r="E52" s="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32"/>
      <c r="S52" s="23"/>
      <c r="T52" s="131"/>
    </row>
    <row r="53" spans="1:20" ht="12.75">
      <c r="A53" s="5"/>
      <c r="B53" s="9" t="s">
        <v>89</v>
      </c>
      <c r="C53" s="10"/>
      <c r="D53" s="10"/>
      <c r="E53" s="10"/>
      <c r="F53" s="81">
        <f>SUM(F8:F51)</f>
        <v>2734</v>
      </c>
      <c r="G53" s="81">
        <f aca="true" t="shared" si="2" ref="G53:R53">SUM(G8:G51)</f>
        <v>2263</v>
      </c>
      <c r="H53" s="81">
        <f t="shared" si="2"/>
        <v>1531</v>
      </c>
      <c r="I53" s="138">
        <f t="shared" si="2"/>
        <v>2171</v>
      </c>
      <c r="J53" s="81">
        <f t="shared" si="2"/>
        <v>19</v>
      </c>
      <c r="K53" s="81">
        <f t="shared" si="2"/>
        <v>4065</v>
      </c>
      <c r="L53" s="81">
        <f t="shared" si="2"/>
        <v>2414</v>
      </c>
      <c r="M53" s="81">
        <f t="shared" si="2"/>
        <v>42</v>
      </c>
      <c r="N53" s="81">
        <f t="shared" si="2"/>
        <v>330</v>
      </c>
      <c r="O53" s="81">
        <f t="shared" si="2"/>
        <v>104</v>
      </c>
      <c r="P53" s="81">
        <f t="shared" si="2"/>
        <v>139</v>
      </c>
      <c r="Q53" s="81">
        <f t="shared" si="2"/>
        <v>15363</v>
      </c>
      <c r="R53" s="81">
        <f t="shared" si="2"/>
        <v>15812</v>
      </c>
      <c r="S53" s="139">
        <v>62.58</v>
      </c>
      <c r="T53" s="140">
        <v>37.42</v>
      </c>
    </row>
    <row r="54" spans="2:20" ht="13.5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5"/>
    </row>
    <row r="55" spans="19:20" ht="12.75">
      <c r="S55" s="7"/>
      <c r="T55" s="7"/>
    </row>
    <row r="56" spans="2:20" ht="12.75">
      <c r="B56" t="s">
        <v>157</v>
      </c>
      <c r="C56" s="52" t="s">
        <v>254</v>
      </c>
      <c r="D56" s="52"/>
      <c r="E56" s="52" t="s">
        <v>136</v>
      </c>
      <c r="F56" s="68"/>
      <c r="J56" s="52"/>
      <c r="K56" s="52"/>
      <c r="L56" s="52" t="s">
        <v>277</v>
      </c>
      <c r="M56" s="52"/>
      <c r="O56" s="52" t="s">
        <v>261</v>
      </c>
      <c r="S56" s="7"/>
      <c r="T56" s="7"/>
    </row>
    <row r="57" spans="3:18" ht="12.75">
      <c r="C57" s="52" t="s">
        <v>256</v>
      </c>
      <c r="D57" s="52"/>
      <c r="E57" s="52" t="s">
        <v>171</v>
      </c>
      <c r="F57" s="52"/>
      <c r="G57" s="50"/>
      <c r="I57" s="43"/>
      <c r="J57" s="52"/>
      <c r="K57" s="52"/>
      <c r="L57" s="52" t="s">
        <v>7</v>
      </c>
      <c r="M57" s="52"/>
      <c r="O57" s="52" t="s">
        <v>187</v>
      </c>
      <c r="P57" s="43"/>
      <c r="Q57" s="43"/>
      <c r="R57" s="42"/>
    </row>
    <row r="58" spans="3:15" ht="12.75">
      <c r="C58" s="52" t="s">
        <v>276</v>
      </c>
      <c r="D58" s="52"/>
      <c r="E58" s="52" t="s">
        <v>278</v>
      </c>
      <c r="F58" s="52"/>
      <c r="G58" s="50"/>
      <c r="J58" s="52"/>
      <c r="K58" s="52"/>
      <c r="L58" s="52" t="s">
        <v>253</v>
      </c>
      <c r="M58" s="52"/>
      <c r="O58" s="52" t="s">
        <v>253</v>
      </c>
    </row>
    <row r="59" spans="3:15" ht="12.75">
      <c r="C59" s="52" t="s">
        <v>250</v>
      </c>
      <c r="D59" s="52"/>
      <c r="E59" s="52" t="s">
        <v>259</v>
      </c>
      <c r="F59" s="52"/>
      <c r="G59" s="50"/>
      <c r="J59" s="52"/>
      <c r="K59" s="52"/>
      <c r="L59" s="52" t="s">
        <v>177</v>
      </c>
      <c r="M59" s="52"/>
      <c r="O59" s="52" t="s">
        <v>188</v>
      </c>
    </row>
    <row r="60" spans="3:11" ht="12.75">
      <c r="C60" s="52" t="s">
        <v>110</v>
      </c>
      <c r="D60" s="52"/>
      <c r="E60" s="52" t="s">
        <v>184</v>
      </c>
      <c r="F60" s="52"/>
      <c r="G60" s="50"/>
      <c r="J60" s="52"/>
      <c r="K60" s="52"/>
    </row>
    <row r="61" spans="6:11" ht="12.75">
      <c r="F61" s="52"/>
      <c r="G61" s="50"/>
      <c r="J61" s="52"/>
      <c r="K61" s="52"/>
    </row>
    <row r="62" spans="6:14" ht="12.75">
      <c r="F62" s="52"/>
      <c r="G62" s="50"/>
      <c r="M62" s="52"/>
      <c r="N62" s="52"/>
    </row>
    <row r="63" spans="3:13" ht="12.75">
      <c r="C63" s="52"/>
      <c r="D63" s="52"/>
      <c r="E63" s="52"/>
      <c r="F63" s="52"/>
      <c r="G63" s="50"/>
      <c r="M63" s="52"/>
    </row>
    <row r="64" spans="6:7" ht="12.75">
      <c r="F64" s="52"/>
      <c r="G64" s="50"/>
    </row>
    <row r="65" spans="6:7" ht="12.75">
      <c r="F65" s="52"/>
      <c r="G65" s="50"/>
    </row>
    <row r="66" spans="6:7" ht="12.75">
      <c r="F66" s="52"/>
      <c r="G66" s="50"/>
    </row>
    <row r="67" spans="6:7" ht="12.75">
      <c r="F67" s="52"/>
      <c r="G67" s="50"/>
    </row>
    <row r="68" spans="6:7" ht="12.75">
      <c r="F68" s="52"/>
      <c r="G68" s="50"/>
    </row>
    <row r="69" spans="6:7" ht="12.75">
      <c r="F69" s="52"/>
      <c r="G69" s="50"/>
    </row>
    <row r="70" spans="6:7" ht="12.75">
      <c r="F70" s="52"/>
      <c r="G70" s="50"/>
    </row>
    <row r="71" spans="3:7" ht="12.75">
      <c r="C71" s="66"/>
      <c r="E71" s="51"/>
      <c r="F71" s="50"/>
      <c r="G71" s="50"/>
    </row>
    <row r="72" spans="3:7" ht="12.75">
      <c r="C72" s="66"/>
      <c r="E72" s="51"/>
      <c r="F72" s="50"/>
      <c r="G72" s="50"/>
    </row>
    <row r="73" spans="3:7" ht="12.75">
      <c r="C73" s="66"/>
      <c r="E73" s="51"/>
      <c r="F73" s="50"/>
      <c r="G73" s="50"/>
    </row>
    <row r="74" spans="3:7" ht="12.75">
      <c r="C74" s="66"/>
      <c r="E74" s="51"/>
      <c r="F74" s="50"/>
      <c r="G74" s="50"/>
    </row>
    <row r="75" spans="3:7" ht="12.75">
      <c r="C75" s="66"/>
      <c r="E75" s="51"/>
      <c r="F75" s="50"/>
      <c r="G75" s="50"/>
    </row>
    <row r="76" spans="3:7" ht="12.75">
      <c r="C76" s="66"/>
      <c r="E76" s="51"/>
      <c r="F76" s="50"/>
      <c r="G76" s="50"/>
    </row>
    <row r="77" spans="3:7" ht="12.75">
      <c r="C77" s="66"/>
      <c r="E77" s="51"/>
      <c r="F77" s="50"/>
      <c r="G77" s="50"/>
    </row>
    <row r="78" spans="3:7" ht="12.75">
      <c r="C78" s="66"/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3:7" ht="12.75">
      <c r="C84" s="44"/>
      <c r="F84" s="50"/>
      <c r="G84" s="50"/>
    </row>
  </sheetData>
  <sheetProtection/>
  <mergeCells count="3">
    <mergeCell ref="B1:K1"/>
    <mergeCell ref="B3:K3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5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6"/>
  <sheetViews>
    <sheetView zoomScalePageLayoutView="0" workbookViewId="0" topLeftCell="A40">
      <selection activeCell="A64" sqref="A1:T64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8.57421875" style="0" customWidth="1"/>
    <col min="4" max="4" width="7.7109375" style="0" customWidth="1"/>
    <col min="5" max="5" width="5.421875" style="0" customWidth="1"/>
    <col min="6" max="6" width="6.421875" style="0" customWidth="1"/>
    <col min="7" max="7" width="6.28125" style="0" customWidth="1"/>
    <col min="8" max="8" width="7.140625" style="0" customWidth="1"/>
    <col min="9" max="9" width="6.57421875" style="0" customWidth="1"/>
    <col min="10" max="12" width="8.00390625" style="0" customWidth="1"/>
    <col min="13" max="13" width="15.421875" style="0" customWidth="1"/>
    <col min="14" max="14" width="8.28125" style="0" customWidth="1"/>
    <col min="15" max="15" width="9.8515625" style="0" customWidth="1"/>
    <col min="16" max="17" width="8.140625" style="0" customWidth="1"/>
    <col min="18" max="18" width="8.28125" style="0" customWidth="1"/>
    <col min="19" max="19" width="12.00390625" style="0" customWidth="1"/>
  </cols>
  <sheetData>
    <row r="1" spans="1:14" ht="18" customHeight="1">
      <c r="A1" s="1"/>
      <c r="B1" s="150" t="s">
        <v>275</v>
      </c>
      <c r="C1" s="150"/>
      <c r="D1" s="150"/>
      <c r="E1" s="150"/>
      <c r="F1" s="150"/>
      <c r="G1" s="151"/>
      <c r="H1" s="151"/>
      <c r="I1" s="151"/>
      <c r="J1" s="151"/>
      <c r="K1" s="151"/>
      <c r="L1" s="2"/>
      <c r="M1" s="2"/>
      <c r="N1" s="2"/>
    </row>
    <row r="2" spans="1:14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</row>
    <row r="3" spans="1:14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2"/>
      <c r="M3" s="2"/>
      <c r="N3" s="2"/>
    </row>
    <row r="4" spans="1:14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</row>
    <row r="5" spans="1:14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</row>
    <row r="6" spans="1:14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</row>
    <row r="7" ht="13.5" thickBot="1"/>
    <row r="8" spans="1:20" ht="39.75" customHeight="1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123" t="s">
        <v>255</v>
      </c>
      <c r="G8" s="123" t="s">
        <v>256</v>
      </c>
      <c r="H8" s="124" t="s">
        <v>276</v>
      </c>
      <c r="I8" s="124" t="s">
        <v>250</v>
      </c>
      <c r="J8" s="124" t="s">
        <v>110</v>
      </c>
      <c r="K8" s="124" t="s">
        <v>277</v>
      </c>
      <c r="L8" s="124" t="s">
        <v>7</v>
      </c>
      <c r="M8" s="143" t="s">
        <v>253</v>
      </c>
      <c r="N8" s="124" t="s">
        <v>177</v>
      </c>
      <c r="O8" s="144" t="s">
        <v>27</v>
      </c>
      <c r="P8" s="144" t="s">
        <v>25</v>
      </c>
      <c r="Q8" s="55" t="s">
        <v>265</v>
      </c>
      <c r="R8" s="55" t="s">
        <v>161</v>
      </c>
      <c r="S8" s="55" t="s">
        <v>266</v>
      </c>
      <c r="T8" s="56" t="s">
        <v>267</v>
      </c>
    </row>
    <row r="9" spans="1:20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7"/>
      <c r="P9" s="7"/>
      <c r="Q9" s="7"/>
      <c r="R9" s="49"/>
      <c r="S9" s="49"/>
      <c r="T9" s="130"/>
    </row>
    <row r="10" spans="1:20" ht="12.75">
      <c r="A10" s="30"/>
      <c r="B10" s="73" t="s">
        <v>166</v>
      </c>
      <c r="C10" s="120">
        <v>1</v>
      </c>
      <c r="D10" s="120">
        <v>1</v>
      </c>
      <c r="E10" s="120" t="s">
        <v>39</v>
      </c>
      <c r="F10" s="128">
        <v>13.15</v>
      </c>
      <c r="G10" s="128">
        <v>25.26</v>
      </c>
      <c r="H10" s="128">
        <v>18.69</v>
      </c>
      <c r="I10" s="128">
        <v>8.3</v>
      </c>
      <c r="J10" s="128">
        <v>0</v>
      </c>
      <c r="K10" s="128">
        <v>17.3</v>
      </c>
      <c r="L10" s="128">
        <v>14.88</v>
      </c>
      <c r="M10" s="128">
        <v>0</v>
      </c>
      <c r="N10" s="128">
        <v>1.04</v>
      </c>
      <c r="O10" s="129">
        <v>1.38</v>
      </c>
      <c r="P10" s="77">
        <v>0.34</v>
      </c>
      <c r="Q10" s="77">
        <f aca="true" t="shared" si="0" ref="Q10:Q17">100-P10</f>
        <v>99.66</v>
      </c>
      <c r="R10" s="78">
        <f>100/'2016 Totals'!R53*'2016 Totals'!R8</f>
        <v>1.834050088540349</v>
      </c>
      <c r="S10" s="132">
        <v>64.59</v>
      </c>
      <c r="T10" s="137">
        <v>35.41</v>
      </c>
    </row>
    <row r="11" spans="1:20" ht="12.75">
      <c r="A11" s="30"/>
      <c r="B11" s="73" t="s">
        <v>166</v>
      </c>
      <c r="C11" s="120">
        <v>1</v>
      </c>
      <c r="D11" s="120">
        <v>1</v>
      </c>
      <c r="E11" s="120" t="s">
        <v>40</v>
      </c>
      <c r="F11" s="128">
        <v>14.59</v>
      </c>
      <c r="G11" s="128">
        <v>19.45</v>
      </c>
      <c r="H11" s="128">
        <v>22.19</v>
      </c>
      <c r="I11" s="128">
        <v>8.51</v>
      </c>
      <c r="J11" s="128">
        <v>0</v>
      </c>
      <c r="K11" s="128">
        <v>17.93</v>
      </c>
      <c r="L11" s="128">
        <v>15.2</v>
      </c>
      <c r="M11" s="128">
        <v>0</v>
      </c>
      <c r="N11" s="128">
        <v>1.52</v>
      </c>
      <c r="O11" s="129">
        <v>0.61</v>
      </c>
      <c r="P11" s="77">
        <v>1.2</v>
      </c>
      <c r="Q11" s="77">
        <f t="shared" si="0"/>
        <v>98.8</v>
      </c>
      <c r="R11" s="78">
        <f>100/'2016 Totals'!R53*'2016 Totals'!R9</f>
        <v>2.105995446496332</v>
      </c>
      <c r="S11" s="132">
        <v>65.29</v>
      </c>
      <c r="T11" s="137">
        <v>34.71</v>
      </c>
    </row>
    <row r="12" spans="1:20" ht="12.75">
      <c r="A12" s="30"/>
      <c r="B12" s="73" t="s">
        <v>167</v>
      </c>
      <c r="C12" s="120">
        <v>1</v>
      </c>
      <c r="D12" s="120">
        <v>2</v>
      </c>
      <c r="E12" s="120" t="s">
        <v>39</v>
      </c>
      <c r="F12" s="128">
        <v>11.03</v>
      </c>
      <c r="G12" s="128">
        <v>23.13</v>
      </c>
      <c r="H12" s="128">
        <v>19.57</v>
      </c>
      <c r="I12" s="128">
        <v>6.05</v>
      </c>
      <c r="J12" s="128">
        <v>0</v>
      </c>
      <c r="K12" s="128">
        <v>26.33</v>
      </c>
      <c r="L12" s="128">
        <v>10.32</v>
      </c>
      <c r="M12" s="128">
        <v>0</v>
      </c>
      <c r="N12" s="128">
        <v>3.2</v>
      </c>
      <c r="O12" s="129">
        <v>0.36</v>
      </c>
      <c r="P12" s="77">
        <v>1.06</v>
      </c>
      <c r="Q12" s="77">
        <f t="shared" si="0"/>
        <v>98.94</v>
      </c>
      <c r="R12" s="78">
        <f>100/'2016 Totals'!R53*'2016 Totals'!R10</f>
        <v>1.7961042246395142</v>
      </c>
      <c r="S12" s="77">
        <v>62.01</v>
      </c>
      <c r="T12" s="137">
        <v>37.99</v>
      </c>
    </row>
    <row r="13" spans="1:20" ht="12.75">
      <c r="A13" s="30"/>
      <c r="B13" s="73" t="s">
        <v>167</v>
      </c>
      <c r="C13" s="120">
        <v>1</v>
      </c>
      <c r="D13" s="120">
        <v>2</v>
      </c>
      <c r="E13" s="120" t="s">
        <v>40</v>
      </c>
      <c r="F13" s="128">
        <v>10.79</v>
      </c>
      <c r="G13" s="128">
        <v>20.95</v>
      </c>
      <c r="H13" s="128">
        <v>20.95</v>
      </c>
      <c r="I13" s="128">
        <v>9.52</v>
      </c>
      <c r="J13" s="128">
        <v>0.32</v>
      </c>
      <c r="K13" s="128">
        <v>25.71</v>
      </c>
      <c r="L13" s="128">
        <v>8.89</v>
      </c>
      <c r="M13" s="128">
        <v>0.32</v>
      </c>
      <c r="N13" s="128">
        <v>1.59</v>
      </c>
      <c r="O13" s="129">
        <v>0.95</v>
      </c>
      <c r="P13" s="77">
        <v>0.63</v>
      </c>
      <c r="Q13" s="77">
        <f t="shared" si="0"/>
        <v>99.37</v>
      </c>
      <c r="R13" s="78">
        <f>100/'2016 Totals'!R53*'2016 Totals'!R11</f>
        <v>2.004806476094106</v>
      </c>
      <c r="S13" s="77">
        <v>65.9</v>
      </c>
      <c r="T13" s="137">
        <v>34.1</v>
      </c>
    </row>
    <row r="14" spans="1:20" ht="12.75">
      <c r="A14" s="30"/>
      <c r="B14" s="73" t="s">
        <v>166</v>
      </c>
      <c r="C14" s="120">
        <v>1</v>
      </c>
      <c r="D14" s="120">
        <v>3</v>
      </c>
      <c r="E14" s="120" t="s">
        <v>39</v>
      </c>
      <c r="F14" s="128">
        <v>14.25</v>
      </c>
      <c r="G14" s="128">
        <v>14.78</v>
      </c>
      <c r="H14" s="128">
        <v>7.65</v>
      </c>
      <c r="I14" s="128">
        <v>20.32</v>
      </c>
      <c r="J14" s="128">
        <v>0</v>
      </c>
      <c r="K14" s="128">
        <v>26.91</v>
      </c>
      <c r="L14" s="128">
        <v>13.72</v>
      </c>
      <c r="M14" s="128">
        <v>0</v>
      </c>
      <c r="N14" s="128">
        <v>1.85</v>
      </c>
      <c r="O14" s="128">
        <v>0.53</v>
      </c>
      <c r="P14" s="128">
        <v>0.26</v>
      </c>
      <c r="Q14" s="77">
        <f t="shared" si="0"/>
        <v>99.74</v>
      </c>
      <c r="R14" s="78">
        <f>100/'2016 Totals'!R53*'2016 Totals'!R12</f>
        <v>2.4032380470528714</v>
      </c>
      <c r="S14" s="77">
        <v>63.23</v>
      </c>
      <c r="T14" s="137">
        <v>36.77</v>
      </c>
    </row>
    <row r="15" spans="1:20" ht="12.75">
      <c r="A15" s="30"/>
      <c r="B15" s="73" t="s">
        <v>166</v>
      </c>
      <c r="C15" s="120">
        <v>1</v>
      </c>
      <c r="D15" s="120">
        <v>3</v>
      </c>
      <c r="E15" s="120" t="s">
        <v>40</v>
      </c>
      <c r="F15" s="128">
        <v>21.77</v>
      </c>
      <c r="G15" s="128">
        <v>11.96</v>
      </c>
      <c r="H15" s="128">
        <v>8.85</v>
      </c>
      <c r="I15" s="128">
        <v>11.72</v>
      </c>
      <c r="J15" s="128">
        <v>0.24</v>
      </c>
      <c r="K15" s="128">
        <v>29.19</v>
      </c>
      <c r="L15" s="128">
        <v>13.64</v>
      </c>
      <c r="M15" s="128">
        <v>0.24</v>
      </c>
      <c r="N15" s="128">
        <v>1.91</v>
      </c>
      <c r="O15" s="129">
        <v>0.48</v>
      </c>
      <c r="P15" s="77">
        <v>1.42</v>
      </c>
      <c r="Q15" s="77">
        <f t="shared" si="0"/>
        <v>98.58</v>
      </c>
      <c r="R15" s="78">
        <f>100/'2016 Totals'!R53*'2016 Totals'!R13</f>
        <v>2.6815077156589933</v>
      </c>
      <c r="S15" s="77">
        <v>65.94</v>
      </c>
      <c r="T15" s="137">
        <v>34.06</v>
      </c>
    </row>
    <row r="16" spans="1:20" ht="12.75">
      <c r="A16" s="30"/>
      <c r="B16" s="73" t="s">
        <v>94</v>
      </c>
      <c r="C16" s="120">
        <v>2</v>
      </c>
      <c r="D16" s="120">
        <v>1</v>
      </c>
      <c r="E16" s="120" t="s">
        <v>39</v>
      </c>
      <c r="F16" s="128">
        <v>16.07</v>
      </c>
      <c r="G16" s="128">
        <v>18.75</v>
      </c>
      <c r="H16" s="128">
        <v>17.41</v>
      </c>
      <c r="I16" s="128">
        <v>6.7</v>
      </c>
      <c r="J16" s="128">
        <v>0</v>
      </c>
      <c r="K16" s="128">
        <v>28.13</v>
      </c>
      <c r="L16" s="128">
        <v>10.71</v>
      </c>
      <c r="M16" s="128">
        <v>0</v>
      </c>
      <c r="N16" s="128">
        <v>1.79</v>
      </c>
      <c r="O16" s="129">
        <v>0.45</v>
      </c>
      <c r="P16" s="77">
        <v>0.88</v>
      </c>
      <c r="Q16" s="77">
        <f t="shared" si="0"/>
        <v>99.12</v>
      </c>
      <c r="R16" s="78">
        <f>100/'2016 Totals'!R53*'2016 Totals'!R14</f>
        <v>1.4292942069314445</v>
      </c>
      <c r="S16" s="77">
        <v>57.07</v>
      </c>
      <c r="T16" s="137">
        <v>42.93</v>
      </c>
    </row>
    <row r="17" spans="1:20" ht="12.75">
      <c r="A17" s="30"/>
      <c r="B17" s="73" t="s">
        <v>94</v>
      </c>
      <c r="C17" s="120">
        <v>2</v>
      </c>
      <c r="D17" s="120">
        <v>1</v>
      </c>
      <c r="E17" s="120" t="s">
        <v>40</v>
      </c>
      <c r="F17" s="128">
        <v>18.93</v>
      </c>
      <c r="G17" s="128">
        <v>18.11</v>
      </c>
      <c r="H17" s="128">
        <v>19.34</v>
      </c>
      <c r="I17" s="128">
        <v>9.88</v>
      </c>
      <c r="J17" s="128">
        <v>0.41</v>
      </c>
      <c r="K17" s="128">
        <v>19.34</v>
      </c>
      <c r="L17" s="128">
        <v>12.35</v>
      </c>
      <c r="M17" s="128">
        <v>0</v>
      </c>
      <c r="N17" s="128">
        <v>1.23</v>
      </c>
      <c r="O17" s="129">
        <v>0.41</v>
      </c>
      <c r="P17" s="77">
        <v>0.41</v>
      </c>
      <c r="Q17" s="77">
        <f t="shared" si="0"/>
        <v>99.59</v>
      </c>
      <c r="R17" s="78">
        <f>100/'2016 Totals'!R53*'2016 Totals'!R15</f>
        <v>1.543131798633949</v>
      </c>
      <c r="S17" s="77">
        <v>63.87</v>
      </c>
      <c r="T17" s="137">
        <v>36.13</v>
      </c>
    </row>
    <row r="18" spans="1:20" ht="12.75">
      <c r="A18" s="30"/>
      <c r="B18" s="73" t="s">
        <v>94</v>
      </c>
      <c r="C18" s="120">
        <v>2</v>
      </c>
      <c r="D18" s="120">
        <v>2</v>
      </c>
      <c r="E18" s="120" t="s">
        <v>39</v>
      </c>
      <c r="F18" s="128">
        <v>22.02</v>
      </c>
      <c r="G18" s="128">
        <v>11.61</v>
      </c>
      <c r="H18" s="128">
        <v>13.69</v>
      </c>
      <c r="I18" s="128">
        <v>15.77</v>
      </c>
      <c r="J18" s="128">
        <v>0</v>
      </c>
      <c r="K18" s="128">
        <v>22.62</v>
      </c>
      <c r="L18" s="128">
        <v>12.8</v>
      </c>
      <c r="M18" s="128">
        <v>0</v>
      </c>
      <c r="N18" s="128">
        <v>0.6</v>
      </c>
      <c r="O18" s="129">
        <v>0.89</v>
      </c>
      <c r="P18" s="77">
        <v>0.3</v>
      </c>
      <c r="Q18" s="77">
        <f>100-P18</f>
        <v>99.7</v>
      </c>
      <c r="R18" s="78">
        <f>100/'2016 Totals'!R53*'2016 Totals'!R16</f>
        <v>2.1312926890968886</v>
      </c>
      <c r="S18" s="77">
        <v>52.9</v>
      </c>
      <c r="T18" s="137">
        <v>47.1</v>
      </c>
    </row>
    <row r="19" spans="1:20" ht="12.75">
      <c r="A19" s="30"/>
      <c r="B19" s="73" t="s">
        <v>94</v>
      </c>
      <c r="C19" s="120">
        <v>2</v>
      </c>
      <c r="D19" s="120">
        <v>2</v>
      </c>
      <c r="E19" s="120" t="s">
        <v>40</v>
      </c>
      <c r="F19" s="128">
        <v>17.27</v>
      </c>
      <c r="G19" s="128">
        <v>20.44</v>
      </c>
      <c r="H19" s="128">
        <v>15.33</v>
      </c>
      <c r="I19" s="128">
        <v>7.79</v>
      </c>
      <c r="J19" s="128">
        <v>0</v>
      </c>
      <c r="K19" s="128">
        <v>25.06</v>
      </c>
      <c r="L19" s="128">
        <v>10.22</v>
      </c>
      <c r="M19" s="128">
        <v>0.24</v>
      </c>
      <c r="N19" s="128">
        <v>1.95</v>
      </c>
      <c r="O19" s="129">
        <v>1.7</v>
      </c>
      <c r="P19" s="77">
        <v>1.2</v>
      </c>
      <c r="Q19" s="77">
        <f aca="true" t="shared" si="1" ref="Q19:Q53">100-P19</f>
        <v>98.8</v>
      </c>
      <c r="R19" s="78">
        <f>100/'2016 Totals'!R53*'2016 Totals'!R17</f>
        <v>2.63091323045788</v>
      </c>
      <c r="S19" s="77">
        <v>60.12</v>
      </c>
      <c r="T19" s="137">
        <v>39.88</v>
      </c>
    </row>
    <row r="20" spans="2:20" ht="12.75">
      <c r="B20" s="73" t="s">
        <v>245</v>
      </c>
      <c r="C20" s="121">
        <v>2</v>
      </c>
      <c r="D20" s="121">
        <v>3</v>
      </c>
      <c r="E20" s="122" t="s">
        <v>39</v>
      </c>
      <c r="F20" s="133">
        <v>17.61</v>
      </c>
      <c r="G20" s="133">
        <v>18.6</v>
      </c>
      <c r="H20" s="133">
        <v>9.63</v>
      </c>
      <c r="I20" s="133">
        <v>11.3</v>
      </c>
      <c r="J20" s="134">
        <v>0.66</v>
      </c>
      <c r="K20" s="133">
        <v>26.25</v>
      </c>
      <c r="L20" s="133">
        <v>13.62</v>
      </c>
      <c r="M20" s="133">
        <v>0</v>
      </c>
      <c r="N20" s="133">
        <v>1.99</v>
      </c>
      <c r="O20" s="133">
        <v>0.33</v>
      </c>
      <c r="P20" s="135">
        <v>0.33</v>
      </c>
      <c r="Q20" s="77">
        <f t="shared" si="1"/>
        <v>99.67</v>
      </c>
      <c r="R20" s="78">
        <f>100/'2016 Totals'!R53*'2016 Totals'!R18</f>
        <v>1.9099418163420188</v>
      </c>
      <c r="S20" s="77">
        <v>57.52</v>
      </c>
      <c r="T20" s="137">
        <v>42.48</v>
      </c>
    </row>
    <row r="21" spans="2:20" ht="12.75">
      <c r="B21" s="73" t="s">
        <v>245</v>
      </c>
      <c r="C21" s="121">
        <v>2</v>
      </c>
      <c r="D21" s="121">
        <v>3</v>
      </c>
      <c r="E21" s="122" t="s">
        <v>40</v>
      </c>
      <c r="F21" s="133">
        <v>18.67</v>
      </c>
      <c r="G21" s="133">
        <v>13.29</v>
      </c>
      <c r="H21" s="133">
        <v>4.43</v>
      </c>
      <c r="I21" s="133">
        <v>14.24</v>
      </c>
      <c r="J21" s="133">
        <v>0</v>
      </c>
      <c r="K21" s="133">
        <v>25.63</v>
      </c>
      <c r="L21" s="133">
        <v>21.2</v>
      </c>
      <c r="M21" s="133">
        <v>0</v>
      </c>
      <c r="N21" s="133">
        <v>2.22</v>
      </c>
      <c r="O21" s="133">
        <v>0.32</v>
      </c>
      <c r="P21" s="135">
        <v>0.32</v>
      </c>
      <c r="Q21" s="77">
        <f t="shared" si="1"/>
        <v>99.68</v>
      </c>
      <c r="R21" s="78">
        <f>100/'2016 Totals'!R53*'2016 Totals'!R19</f>
        <v>2.004806476094106</v>
      </c>
      <c r="S21" s="77">
        <v>58.06</v>
      </c>
      <c r="T21" s="137">
        <v>41.94</v>
      </c>
    </row>
    <row r="22" spans="2:20" ht="12.75">
      <c r="B22" s="73" t="s">
        <v>245</v>
      </c>
      <c r="C22" s="122">
        <v>2</v>
      </c>
      <c r="D22" s="122">
        <v>3</v>
      </c>
      <c r="E22" s="122" t="s">
        <v>92</v>
      </c>
      <c r="F22" s="133">
        <v>20.37</v>
      </c>
      <c r="G22" s="133">
        <v>14.2</v>
      </c>
      <c r="H22" s="133">
        <v>6.17</v>
      </c>
      <c r="I22" s="133">
        <v>12.96</v>
      </c>
      <c r="J22" s="133">
        <v>0.31</v>
      </c>
      <c r="K22" s="133">
        <v>25.31</v>
      </c>
      <c r="L22" s="133">
        <v>18.21</v>
      </c>
      <c r="M22" s="133">
        <v>0.31</v>
      </c>
      <c r="N22" s="133">
        <v>1.54</v>
      </c>
      <c r="O22" s="133">
        <v>0.62</v>
      </c>
      <c r="P22" s="76">
        <v>0.92</v>
      </c>
      <c r="Q22" s="77">
        <f t="shared" si="1"/>
        <v>99.08</v>
      </c>
      <c r="R22" s="78">
        <f>100/'2016 Totals'!R53*'2016 Totals'!R20</f>
        <v>2.068049582595497</v>
      </c>
      <c r="S22" s="77">
        <v>60.67</v>
      </c>
      <c r="T22" s="137">
        <v>39.33</v>
      </c>
    </row>
    <row r="23" spans="2:20" ht="12.75">
      <c r="B23" s="73" t="s">
        <v>168</v>
      </c>
      <c r="C23" s="122">
        <v>2</v>
      </c>
      <c r="D23" s="122">
        <v>4</v>
      </c>
      <c r="E23" s="122" t="s">
        <v>39</v>
      </c>
      <c r="F23" s="133">
        <v>15.14</v>
      </c>
      <c r="G23" s="133">
        <v>10.69</v>
      </c>
      <c r="H23" s="133">
        <v>8.69</v>
      </c>
      <c r="I23" s="133">
        <v>13.81</v>
      </c>
      <c r="J23" s="133">
        <v>0.45</v>
      </c>
      <c r="K23" s="133">
        <v>30.96</v>
      </c>
      <c r="L23" s="133">
        <v>15.59</v>
      </c>
      <c r="M23" s="133">
        <v>0.67</v>
      </c>
      <c r="N23" s="133">
        <v>2.67</v>
      </c>
      <c r="O23" s="133">
        <v>1.34</v>
      </c>
      <c r="P23" s="135">
        <v>1.1</v>
      </c>
      <c r="Q23" s="77">
        <f t="shared" si="1"/>
        <v>98.9</v>
      </c>
      <c r="R23" s="78">
        <f>100/'2016 Totals'!R53*'2016 Totals'!R21</f>
        <v>2.8712370351631673</v>
      </c>
      <c r="S23" s="77">
        <v>56.4</v>
      </c>
      <c r="T23" s="137">
        <v>43.6</v>
      </c>
    </row>
    <row r="24" spans="2:20" ht="12.75">
      <c r="B24" s="73" t="s">
        <v>168</v>
      </c>
      <c r="C24" s="121">
        <v>2</v>
      </c>
      <c r="D24" s="121">
        <v>4</v>
      </c>
      <c r="E24" s="122" t="s">
        <v>40</v>
      </c>
      <c r="F24" s="133">
        <v>15.89</v>
      </c>
      <c r="G24" s="133">
        <v>11.92</v>
      </c>
      <c r="H24" s="133">
        <v>10.75</v>
      </c>
      <c r="I24" s="133">
        <v>14.02</v>
      </c>
      <c r="J24" s="133">
        <v>0.23</v>
      </c>
      <c r="K24" s="133">
        <v>30.37</v>
      </c>
      <c r="L24" s="133">
        <v>14.95</v>
      </c>
      <c r="M24" s="133">
        <v>0.23</v>
      </c>
      <c r="N24" s="133">
        <v>1.17</v>
      </c>
      <c r="O24" s="136">
        <v>0.47</v>
      </c>
      <c r="P24" s="76">
        <v>1.61</v>
      </c>
      <c r="Q24" s="77">
        <f t="shared" si="1"/>
        <v>98.39</v>
      </c>
      <c r="R24" s="78">
        <f>100/'2016 Totals'!R53*'2016 Totals'!R22</f>
        <v>2.7510751328105236</v>
      </c>
      <c r="S24" s="77">
        <v>57.09</v>
      </c>
      <c r="T24" s="137">
        <v>42.91</v>
      </c>
    </row>
    <row r="25" spans="2:20" ht="12.75">
      <c r="B25" s="73" t="s">
        <v>168</v>
      </c>
      <c r="C25" s="121">
        <v>2</v>
      </c>
      <c r="D25" s="121">
        <v>5</v>
      </c>
      <c r="E25" s="122" t="s">
        <v>39</v>
      </c>
      <c r="F25" s="133">
        <v>13.57</v>
      </c>
      <c r="G25" s="133">
        <v>11.36</v>
      </c>
      <c r="H25" s="133">
        <v>6.09</v>
      </c>
      <c r="I25" s="133">
        <v>16.07</v>
      </c>
      <c r="J25" s="133">
        <v>0</v>
      </c>
      <c r="K25" s="133">
        <v>30.47</v>
      </c>
      <c r="L25" s="133">
        <v>18.84</v>
      </c>
      <c r="M25" s="133">
        <v>0.55</v>
      </c>
      <c r="N25" s="133">
        <v>2.49</v>
      </c>
      <c r="O25" s="133">
        <v>0.55</v>
      </c>
      <c r="P25" s="135">
        <v>1.37</v>
      </c>
      <c r="Q25" s="77">
        <f t="shared" si="1"/>
        <v>98.63</v>
      </c>
      <c r="R25" s="78">
        <f>100/'2016 Totals'!R53*'2016 Totals'!R23</f>
        <v>2.3146976979509235</v>
      </c>
      <c r="S25" s="77">
        <v>63.21</v>
      </c>
      <c r="T25" s="137">
        <v>36.79</v>
      </c>
    </row>
    <row r="26" spans="2:20" ht="12.75">
      <c r="B26" s="73" t="s">
        <v>168</v>
      </c>
      <c r="C26" s="121">
        <v>2</v>
      </c>
      <c r="D26" s="121">
        <v>5</v>
      </c>
      <c r="E26" s="122" t="s">
        <v>40</v>
      </c>
      <c r="F26" s="133">
        <v>20.93</v>
      </c>
      <c r="G26" s="133">
        <v>9.56</v>
      </c>
      <c r="H26" s="133">
        <v>3.1</v>
      </c>
      <c r="I26" s="133">
        <v>19.12</v>
      </c>
      <c r="J26" s="133">
        <v>0</v>
      </c>
      <c r="K26" s="133">
        <v>25.84</v>
      </c>
      <c r="L26" s="133">
        <v>18.86</v>
      </c>
      <c r="M26" s="133">
        <v>0.26</v>
      </c>
      <c r="N26" s="133">
        <v>2.07</v>
      </c>
      <c r="O26" s="136">
        <v>0.26</v>
      </c>
      <c r="P26" s="76">
        <v>1.78</v>
      </c>
      <c r="Q26" s="77">
        <f t="shared" si="1"/>
        <v>98.22</v>
      </c>
      <c r="R26" s="78">
        <f>100/'2016 Totals'!R53*'2016 Totals'!R24</f>
        <v>2.491778396154819</v>
      </c>
      <c r="S26" s="77">
        <v>65.02</v>
      </c>
      <c r="T26" s="137">
        <v>34.98</v>
      </c>
    </row>
    <row r="27" spans="2:20" ht="12.75">
      <c r="B27" s="73" t="s">
        <v>168</v>
      </c>
      <c r="C27" s="121">
        <v>2</v>
      </c>
      <c r="D27" s="121">
        <v>5</v>
      </c>
      <c r="E27" s="122" t="s">
        <v>92</v>
      </c>
      <c r="F27" s="133">
        <v>31.94</v>
      </c>
      <c r="G27" s="133">
        <v>11.22</v>
      </c>
      <c r="H27" s="133">
        <v>4.08</v>
      </c>
      <c r="I27" s="133">
        <v>16.84</v>
      </c>
      <c r="J27" s="133">
        <v>0</v>
      </c>
      <c r="K27" s="133">
        <v>24.74</v>
      </c>
      <c r="L27" s="133">
        <v>18.11</v>
      </c>
      <c r="M27" s="133">
        <v>0.51</v>
      </c>
      <c r="N27" s="133">
        <v>2.3</v>
      </c>
      <c r="O27" s="133">
        <v>0.26</v>
      </c>
      <c r="P27" s="135">
        <v>0.25</v>
      </c>
      <c r="Q27" s="77">
        <f t="shared" si="1"/>
        <v>99.75</v>
      </c>
      <c r="R27" s="78">
        <f>100/'2016 Totals'!R53*'2016 Totals'!R25</f>
        <v>2.48545408550468</v>
      </c>
      <c r="S27" s="77">
        <v>60.65</v>
      </c>
      <c r="T27" s="137">
        <v>39.35</v>
      </c>
    </row>
    <row r="28" spans="2:20" ht="12.75">
      <c r="B28" s="73" t="s">
        <v>97</v>
      </c>
      <c r="C28" s="121">
        <v>3</v>
      </c>
      <c r="D28" s="121">
        <v>1</v>
      </c>
      <c r="E28" s="122" t="s">
        <v>39</v>
      </c>
      <c r="F28" s="133">
        <v>16.62</v>
      </c>
      <c r="G28" s="133">
        <v>22.74</v>
      </c>
      <c r="H28" s="133">
        <v>8.75</v>
      </c>
      <c r="I28" s="133">
        <v>10.5</v>
      </c>
      <c r="J28" s="133">
        <v>0</v>
      </c>
      <c r="K28" s="133">
        <v>24.49</v>
      </c>
      <c r="L28" s="133">
        <v>13.12</v>
      </c>
      <c r="M28" s="133">
        <v>0</v>
      </c>
      <c r="N28" s="133">
        <v>2.92</v>
      </c>
      <c r="O28" s="133">
        <v>0.87</v>
      </c>
      <c r="P28" s="135">
        <v>2.56</v>
      </c>
      <c r="Q28" s="77">
        <f t="shared" si="1"/>
        <v>97.44</v>
      </c>
      <c r="R28" s="78">
        <f>100/'2016 Totals'!R53*'2016 Totals'!R26</f>
        <v>2.2261573488489756</v>
      </c>
      <c r="S28" s="77">
        <v>64.23</v>
      </c>
      <c r="T28" s="137">
        <v>35.77</v>
      </c>
    </row>
    <row r="29" spans="2:20" ht="12.75">
      <c r="B29" s="73" t="s">
        <v>97</v>
      </c>
      <c r="C29" s="121">
        <v>3</v>
      </c>
      <c r="D29" s="121">
        <v>1</v>
      </c>
      <c r="E29" s="122" t="s">
        <v>40</v>
      </c>
      <c r="F29" s="133">
        <v>20.98</v>
      </c>
      <c r="G29" s="133">
        <v>20.98</v>
      </c>
      <c r="H29" s="133">
        <v>11.17</v>
      </c>
      <c r="I29" s="133">
        <v>5.72</v>
      </c>
      <c r="J29" s="133">
        <v>0</v>
      </c>
      <c r="K29" s="133">
        <v>25.61</v>
      </c>
      <c r="L29" s="133">
        <v>12.26</v>
      </c>
      <c r="M29" s="133">
        <v>0</v>
      </c>
      <c r="N29" s="133">
        <v>2.72</v>
      </c>
      <c r="O29" s="133">
        <v>0.54</v>
      </c>
      <c r="P29" s="135">
        <v>1.08</v>
      </c>
      <c r="Q29" s="77">
        <f t="shared" si="1"/>
        <v>98.92</v>
      </c>
      <c r="R29" s="78">
        <f>100/'2016 Totals'!R53*'2016 Totals'!R27</f>
        <v>2.346319251201619</v>
      </c>
      <c r="S29" s="77">
        <v>65.2</v>
      </c>
      <c r="T29" s="137">
        <v>34.8</v>
      </c>
    </row>
    <row r="30" spans="2:20" ht="12.75">
      <c r="B30" s="73" t="s">
        <v>98</v>
      </c>
      <c r="C30" s="121">
        <v>3</v>
      </c>
      <c r="D30" s="121">
        <v>2</v>
      </c>
      <c r="E30" s="122" t="s">
        <v>39</v>
      </c>
      <c r="F30" s="133">
        <v>16.37</v>
      </c>
      <c r="G30" s="133">
        <v>11.21</v>
      </c>
      <c r="H30" s="133">
        <v>8.52</v>
      </c>
      <c r="I30" s="133">
        <v>13.68</v>
      </c>
      <c r="J30" s="133">
        <v>0</v>
      </c>
      <c r="K30" s="133">
        <v>30.27</v>
      </c>
      <c r="L30" s="133">
        <v>16.14</v>
      </c>
      <c r="M30" s="133">
        <v>0.22</v>
      </c>
      <c r="N30" s="133">
        <v>3.14</v>
      </c>
      <c r="O30" s="133">
        <v>0.45</v>
      </c>
      <c r="P30" s="135">
        <v>0.45</v>
      </c>
      <c r="Q30" s="77">
        <f t="shared" si="1"/>
        <v>99.55</v>
      </c>
      <c r="R30" s="78">
        <f>100/'2016 Totals'!R53*'2016 Totals'!R28</f>
        <v>2.8332911712623323</v>
      </c>
      <c r="S30" s="77">
        <v>58.26</v>
      </c>
      <c r="T30" s="137">
        <v>41.74</v>
      </c>
    </row>
    <row r="31" spans="2:20" ht="12.75">
      <c r="B31" s="73" t="s">
        <v>98</v>
      </c>
      <c r="C31" s="121">
        <v>3</v>
      </c>
      <c r="D31" s="121">
        <v>2</v>
      </c>
      <c r="E31" s="122" t="s">
        <v>40</v>
      </c>
      <c r="F31" s="133">
        <v>19.55</v>
      </c>
      <c r="G31" s="133">
        <v>14.61</v>
      </c>
      <c r="H31" s="133">
        <v>7</v>
      </c>
      <c r="I31" s="133">
        <v>14.81</v>
      </c>
      <c r="J31" s="133">
        <v>0</v>
      </c>
      <c r="K31" s="133">
        <v>25.31</v>
      </c>
      <c r="L31" s="133">
        <v>16.67</v>
      </c>
      <c r="M31" s="133">
        <v>0</v>
      </c>
      <c r="N31" s="133">
        <v>1.44</v>
      </c>
      <c r="O31" s="133">
        <v>0.6</v>
      </c>
      <c r="P31" s="135">
        <v>0.41</v>
      </c>
      <c r="Q31" s="77">
        <f t="shared" si="1"/>
        <v>99.59</v>
      </c>
      <c r="R31" s="78">
        <f>100/'2016 Totals'!R53*'2016 Totals'!R29</f>
        <v>3.086263597267898</v>
      </c>
      <c r="S31" s="77">
        <v>63.71</v>
      </c>
      <c r="T31" s="137">
        <v>36.29</v>
      </c>
    </row>
    <row r="32" spans="2:20" ht="12.75">
      <c r="B32" s="73" t="s">
        <v>170</v>
      </c>
      <c r="C32" s="121">
        <v>3</v>
      </c>
      <c r="D32" s="121">
        <v>3</v>
      </c>
      <c r="E32" s="122" t="s">
        <v>39</v>
      </c>
      <c r="F32" s="133">
        <v>15.42</v>
      </c>
      <c r="G32" s="133">
        <v>13.93</v>
      </c>
      <c r="H32" s="133">
        <v>9.2</v>
      </c>
      <c r="I32" s="133">
        <v>16.42</v>
      </c>
      <c r="J32" s="133">
        <v>0</v>
      </c>
      <c r="K32" s="133">
        <v>25.12</v>
      </c>
      <c r="L32" s="133">
        <v>17.91</v>
      </c>
      <c r="M32" s="133">
        <v>0.25</v>
      </c>
      <c r="N32" s="133">
        <v>1</v>
      </c>
      <c r="O32" s="133">
        <v>0.78</v>
      </c>
      <c r="P32" s="135">
        <v>0.99</v>
      </c>
      <c r="Q32" s="77">
        <f t="shared" si="1"/>
        <v>99.01</v>
      </c>
      <c r="R32" s="78">
        <f>100/'2016 Totals'!R53*'2016 Totals'!R30</f>
        <v>2.5676701239564887</v>
      </c>
      <c r="S32" s="77">
        <v>60.42</v>
      </c>
      <c r="T32" s="137">
        <v>39.58</v>
      </c>
    </row>
    <row r="33" spans="2:20" ht="12.75">
      <c r="B33" s="73" t="s">
        <v>170</v>
      </c>
      <c r="C33" s="121">
        <v>3</v>
      </c>
      <c r="D33" s="121">
        <v>3</v>
      </c>
      <c r="E33" s="121" t="s">
        <v>40</v>
      </c>
      <c r="F33" s="133">
        <v>15.69</v>
      </c>
      <c r="G33" s="133">
        <v>14.89</v>
      </c>
      <c r="H33" s="133">
        <v>13.83</v>
      </c>
      <c r="I33" s="133">
        <v>13.83</v>
      </c>
      <c r="J33" s="133">
        <v>0.27</v>
      </c>
      <c r="K33" s="133">
        <v>21.54</v>
      </c>
      <c r="L33" s="133">
        <v>16.49</v>
      </c>
      <c r="M33" s="133">
        <v>0.27</v>
      </c>
      <c r="N33" s="133">
        <v>1.86</v>
      </c>
      <c r="O33" s="133">
        <v>1.33</v>
      </c>
      <c r="P33" s="135">
        <v>0.79</v>
      </c>
      <c r="Q33" s="77">
        <f t="shared" si="1"/>
        <v>99.21</v>
      </c>
      <c r="R33" s="78">
        <f>100/'2016 Totals'!R53*'2016 Totals'!R31</f>
        <v>2.396913736402732</v>
      </c>
      <c r="S33" s="77">
        <v>62.13</v>
      </c>
      <c r="T33" s="137">
        <v>37.87</v>
      </c>
    </row>
    <row r="34" spans="2:20" ht="12.75">
      <c r="B34" s="73" t="s">
        <v>246</v>
      </c>
      <c r="C34" s="121">
        <v>3</v>
      </c>
      <c r="D34" s="121">
        <v>4</v>
      </c>
      <c r="E34" s="121" t="s">
        <v>39</v>
      </c>
      <c r="F34" s="133">
        <v>24.26</v>
      </c>
      <c r="G34" s="133">
        <v>13.21</v>
      </c>
      <c r="H34" s="133">
        <v>6.47</v>
      </c>
      <c r="I34" s="133">
        <v>13.75</v>
      </c>
      <c r="J34" s="133">
        <v>0</v>
      </c>
      <c r="K34" s="133">
        <v>26.15</v>
      </c>
      <c r="L34" s="133">
        <v>12.94</v>
      </c>
      <c r="M34" s="133">
        <v>0.54</v>
      </c>
      <c r="N34" s="133">
        <v>1.89</v>
      </c>
      <c r="O34" s="133">
        <v>0.81</v>
      </c>
      <c r="P34" s="135">
        <v>1.07</v>
      </c>
      <c r="Q34" s="77">
        <f t="shared" si="1"/>
        <v>98.93</v>
      </c>
      <c r="R34" s="78">
        <f>100/'2016 Totals'!R53*'2016 Totals'!R32</f>
        <v>2.3716164938021755</v>
      </c>
      <c r="S34" s="77">
        <v>60.68</v>
      </c>
      <c r="T34" s="137">
        <v>39.32</v>
      </c>
    </row>
    <row r="35" spans="2:20" ht="12.75">
      <c r="B35" s="73" t="s">
        <v>246</v>
      </c>
      <c r="C35" s="121">
        <v>3</v>
      </c>
      <c r="D35" s="121">
        <v>4</v>
      </c>
      <c r="E35" s="122" t="s">
        <v>40</v>
      </c>
      <c r="F35" s="133">
        <v>20.87</v>
      </c>
      <c r="G35" s="133">
        <v>11.45</v>
      </c>
      <c r="H35" s="133">
        <v>7.63</v>
      </c>
      <c r="I35" s="133">
        <v>13.99</v>
      </c>
      <c r="J35" s="133">
        <v>0.25</v>
      </c>
      <c r="K35" s="133">
        <v>28.75</v>
      </c>
      <c r="L35" s="133">
        <v>11.96</v>
      </c>
      <c r="M35" s="133">
        <v>0.25</v>
      </c>
      <c r="N35" s="133">
        <v>3.56</v>
      </c>
      <c r="O35" s="133">
        <v>1.27</v>
      </c>
      <c r="P35" s="135">
        <v>0.76</v>
      </c>
      <c r="Q35" s="77">
        <f t="shared" si="1"/>
        <v>99.24</v>
      </c>
      <c r="R35" s="78">
        <f>100/'2016 Totals'!R53*'2016 Totals'!R33</f>
        <v>2.5044270174550975</v>
      </c>
      <c r="S35" s="77">
        <v>64.71</v>
      </c>
      <c r="T35" s="137">
        <v>35.29</v>
      </c>
    </row>
    <row r="36" spans="2:20" ht="12.75">
      <c r="B36" s="73" t="s">
        <v>247</v>
      </c>
      <c r="C36" s="121">
        <v>3</v>
      </c>
      <c r="D36" s="121">
        <v>5</v>
      </c>
      <c r="E36" s="122" t="s">
        <v>39</v>
      </c>
      <c r="F36" s="133">
        <v>17.14</v>
      </c>
      <c r="G36" s="133">
        <v>22.86</v>
      </c>
      <c r="H36" s="133">
        <v>8.57</v>
      </c>
      <c r="I36" s="133">
        <v>13.93</v>
      </c>
      <c r="J36" s="133">
        <v>0</v>
      </c>
      <c r="K36" s="133">
        <v>23.93</v>
      </c>
      <c r="L36" s="133">
        <v>9.29</v>
      </c>
      <c r="M36" s="133">
        <v>0.36</v>
      </c>
      <c r="N36" s="133">
        <v>3.93</v>
      </c>
      <c r="O36" s="133">
        <v>0</v>
      </c>
      <c r="P36" s="135">
        <v>0.36</v>
      </c>
      <c r="Q36" s="77">
        <f t="shared" si="1"/>
        <v>99.64</v>
      </c>
      <c r="R36" s="78">
        <f>100/'2016 Totals'!R53*'2016 Totals'!R34</f>
        <v>1.777131292689097</v>
      </c>
      <c r="S36" s="77">
        <v>61.76</v>
      </c>
      <c r="T36" s="137">
        <v>38.24</v>
      </c>
    </row>
    <row r="37" spans="2:20" ht="12.75">
      <c r="B37" s="73" t="s">
        <v>247</v>
      </c>
      <c r="C37" s="121">
        <v>3</v>
      </c>
      <c r="D37" s="121">
        <v>5</v>
      </c>
      <c r="E37" s="122" t="s">
        <v>40</v>
      </c>
      <c r="F37" s="133">
        <v>16.49</v>
      </c>
      <c r="G37" s="133">
        <v>21.86</v>
      </c>
      <c r="H37" s="133">
        <v>11.11</v>
      </c>
      <c r="I37" s="133">
        <v>13.62</v>
      </c>
      <c r="J37" s="133">
        <v>0</v>
      </c>
      <c r="K37" s="133">
        <v>24.01</v>
      </c>
      <c r="L37" s="133">
        <v>10.39</v>
      </c>
      <c r="M37" s="133">
        <v>0.36</v>
      </c>
      <c r="N37" s="133">
        <v>1.43</v>
      </c>
      <c r="O37" s="133">
        <v>2</v>
      </c>
      <c r="P37" s="135">
        <v>0</v>
      </c>
      <c r="Q37" s="77">
        <f t="shared" si="1"/>
        <v>100</v>
      </c>
      <c r="R37" s="78">
        <f>100/'2016 Totals'!R53*'2016 Totals'!R35</f>
        <v>1.7644826713888186</v>
      </c>
      <c r="S37" s="77">
        <v>62</v>
      </c>
      <c r="T37" s="137">
        <v>38</v>
      </c>
    </row>
    <row r="38" spans="2:20" ht="12.75">
      <c r="B38" s="73" t="s">
        <v>98</v>
      </c>
      <c r="C38" s="121">
        <v>3</v>
      </c>
      <c r="D38" s="121">
        <v>6</v>
      </c>
      <c r="E38" s="122" t="s">
        <v>39</v>
      </c>
      <c r="F38" s="133">
        <v>16.7</v>
      </c>
      <c r="G38" s="133">
        <v>17.79</v>
      </c>
      <c r="H38" s="133">
        <v>14.75</v>
      </c>
      <c r="I38" s="133">
        <v>8.49</v>
      </c>
      <c r="J38" s="133">
        <v>0</v>
      </c>
      <c r="K38" s="133">
        <v>23.43</v>
      </c>
      <c r="L38" s="133">
        <v>16.27</v>
      </c>
      <c r="M38" s="133">
        <v>0</v>
      </c>
      <c r="N38" s="133">
        <v>1.95</v>
      </c>
      <c r="O38" s="133">
        <v>0.65</v>
      </c>
      <c r="P38" s="135">
        <v>1.07</v>
      </c>
      <c r="Q38" s="77">
        <f t="shared" si="1"/>
        <v>98.93</v>
      </c>
      <c r="R38" s="78">
        <f>100/'2016 Totals'!R53*'2016 Totals'!R36</f>
        <v>2.947128762964837</v>
      </c>
      <c r="S38" s="77">
        <v>63.06</v>
      </c>
      <c r="T38" s="137">
        <v>36.94</v>
      </c>
    </row>
    <row r="39" spans="2:20" ht="12.75">
      <c r="B39" s="73" t="s">
        <v>98</v>
      </c>
      <c r="C39" s="121">
        <v>3</v>
      </c>
      <c r="D39" s="121">
        <v>6</v>
      </c>
      <c r="E39" s="122" t="s">
        <v>40</v>
      </c>
      <c r="F39" s="133">
        <v>16.59</v>
      </c>
      <c r="G39" s="133">
        <v>22.2</v>
      </c>
      <c r="H39" s="133">
        <v>13.23</v>
      </c>
      <c r="I39" s="133">
        <v>8.74</v>
      </c>
      <c r="J39" s="133">
        <v>0.22</v>
      </c>
      <c r="K39" s="133">
        <v>22.42</v>
      </c>
      <c r="L39" s="133">
        <v>12.78</v>
      </c>
      <c r="M39" s="133">
        <v>0.67</v>
      </c>
      <c r="N39" s="133">
        <v>2.24</v>
      </c>
      <c r="O39" s="133">
        <v>0.9</v>
      </c>
      <c r="P39" s="135">
        <v>1.11</v>
      </c>
      <c r="Q39" s="77">
        <f t="shared" si="1"/>
        <v>98.89</v>
      </c>
      <c r="R39" s="78">
        <f>100/'2016 Totals'!R53*'2016 Totals'!R37</f>
        <v>2.85226410321275</v>
      </c>
      <c r="S39" s="77">
        <v>62.9</v>
      </c>
      <c r="T39" s="137">
        <v>37.1</v>
      </c>
    </row>
    <row r="40" spans="2:20" ht="12.75">
      <c r="B40" s="73" t="s">
        <v>170</v>
      </c>
      <c r="C40" s="121">
        <v>3</v>
      </c>
      <c r="D40" s="121">
        <v>7</v>
      </c>
      <c r="E40" s="122" t="s">
        <v>39</v>
      </c>
      <c r="F40" s="133">
        <v>13.39</v>
      </c>
      <c r="G40" s="133">
        <v>11.42</v>
      </c>
      <c r="H40" s="133">
        <v>13.39</v>
      </c>
      <c r="I40" s="133">
        <v>15.75</v>
      </c>
      <c r="J40" s="133">
        <v>0</v>
      </c>
      <c r="K40" s="133">
        <v>22.83</v>
      </c>
      <c r="L40" s="133">
        <v>19.69</v>
      </c>
      <c r="M40" s="133">
        <v>0</v>
      </c>
      <c r="N40" s="133">
        <v>3.15</v>
      </c>
      <c r="O40" s="133">
        <v>0.39</v>
      </c>
      <c r="P40" s="135">
        <v>0.39</v>
      </c>
      <c r="Q40" s="77">
        <f t="shared" si="1"/>
        <v>99.61</v>
      </c>
      <c r="R40" s="78">
        <f>100/'2016 Totals'!R53*'2016 Totals'!R38</f>
        <v>1.6126992157854794</v>
      </c>
      <c r="S40" s="77">
        <v>57.43</v>
      </c>
      <c r="T40" s="137">
        <v>42.57</v>
      </c>
    </row>
    <row r="41" spans="2:20" ht="12.75">
      <c r="B41" s="73" t="s">
        <v>170</v>
      </c>
      <c r="C41" s="121">
        <v>3</v>
      </c>
      <c r="D41" s="121">
        <v>7</v>
      </c>
      <c r="E41" s="122" t="s">
        <v>40</v>
      </c>
      <c r="F41" s="133">
        <v>13.04</v>
      </c>
      <c r="G41" s="133">
        <v>12.32</v>
      </c>
      <c r="H41" s="133">
        <v>10.51</v>
      </c>
      <c r="I41" s="133">
        <v>18.48</v>
      </c>
      <c r="J41" s="133">
        <v>0</v>
      </c>
      <c r="K41" s="133">
        <v>24.64</v>
      </c>
      <c r="L41" s="133">
        <v>17.75</v>
      </c>
      <c r="M41" s="133">
        <v>1.09</v>
      </c>
      <c r="N41" s="133">
        <v>2.17</v>
      </c>
      <c r="O41" s="133">
        <v>0</v>
      </c>
      <c r="P41" s="135">
        <v>0.36</v>
      </c>
      <c r="Q41" s="77">
        <f t="shared" si="1"/>
        <v>99.64</v>
      </c>
      <c r="R41" s="78">
        <f>100/'2016 Totals'!R53*'2016 Totals'!R39</f>
        <v>1.7518340500885403</v>
      </c>
      <c r="S41" s="77">
        <v>66.11</v>
      </c>
      <c r="T41" s="137">
        <v>33.89</v>
      </c>
    </row>
    <row r="42" spans="2:20" ht="12.75">
      <c r="B42" s="73" t="s">
        <v>102</v>
      </c>
      <c r="C42" s="121">
        <v>3</v>
      </c>
      <c r="D42" s="121">
        <v>8</v>
      </c>
      <c r="E42" s="122" t="s">
        <v>39</v>
      </c>
      <c r="F42" s="133">
        <v>22.37</v>
      </c>
      <c r="G42" s="133">
        <v>8.81</v>
      </c>
      <c r="H42" s="133">
        <v>3.39</v>
      </c>
      <c r="I42" s="133">
        <v>17.29</v>
      </c>
      <c r="J42" s="133">
        <v>0.34</v>
      </c>
      <c r="K42" s="133">
        <v>24.07</v>
      </c>
      <c r="L42" s="133">
        <v>20.34</v>
      </c>
      <c r="M42" s="133">
        <v>0.68</v>
      </c>
      <c r="N42" s="133">
        <v>2.37</v>
      </c>
      <c r="O42" s="133">
        <v>0.34</v>
      </c>
      <c r="P42" s="135">
        <v>1.67</v>
      </c>
      <c r="Q42" s="77">
        <f t="shared" si="1"/>
        <v>98.33</v>
      </c>
      <c r="R42" s="78">
        <f>100/'2016 Totals'!R53*'2016 Totals'!R40</f>
        <v>1.8972931950417404</v>
      </c>
      <c r="S42" s="77">
        <v>63.83</v>
      </c>
      <c r="T42" s="137">
        <v>36.17</v>
      </c>
    </row>
    <row r="43" spans="2:20" ht="12.75">
      <c r="B43" s="73" t="s">
        <v>102</v>
      </c>
      <c r="C43" s="121">
        <v>3</v>
      </c>
      <c r="D43" s="121">
        <v>8</v>
      </c>
      <c r="E43" s="122" t="s">
        <v>40</v>
      </c>
      <c r="F43" s="133">
        <v>19.12</v>
      </c>
      <c r="G43" s="133">
        <v>5.43</v>
      </c>
      <c r="H43" s="133">
        <v>2.33</v>
      </c>
      <c r="I43" s="133">
        <v>19.64</v>
      </c>
      <c r="J43" s="133">
        <v>0</v>
      </c>
      <c r="K43" s="133">
        <v>31.27</v>
      </c>
      <c r="L43" s="133">
        <v>18.6</v>
      </c>
      <c r="M43" s="133">
        <v>0.52</v>
      </c>
      <c r="N43" s="133">
        <v>2.84</v>
      </c>
      <c r="O43" s="133">
        <v>0.26</v>
      </c>
      <c r="P43" s="135">
        <v>0.77</v>
      </c>
      <c r="Q43" s="77">
        <f t="shared" si="1"/>
        <v>99.23</v>
      </c>
      <c r="R43" s="78">
        <f>100/'2016 Totals'!R53*'2016 Totals'!R41</f>
        <v>2.4664811535542626</v>
      </c>
      <c r="S43" s="77">
        <v>67.24</v>
      </c>
      <c r="T43" s="137">
        <v>32.76</v>
      </c>
    </row>
    <row r="44" spans="2:20" ht="12.75">
      <c r="B44" s="73" t="s">
        <v>102</v>
      </c>
      <c r="C44" s="121">
        <v>3</v>
      </c>
      <c r="D44" s="121">
        <v>8</v>
      </c>
      <c r="E44" s="122" t="s">
        <v>92</v>
      </c>
      <c r="F44" s="133">
        <v>21.5</v>
      </c>
      <c r="G44" s="133">
        <v>12.5</v>
      </c>
      <c r="H44" s="133">
        <v>5</v>
      </c>
      <c r="I44" s="133">
        <v>14.75</v>
      </c>
      <c r="J44" s="133">
        <v>0.25</v>
      </c>
      <c r="K44" s="133">
        <v>27</v>
      </c>
      <c r="L44" s="133">
        <v>16.25</v>
      </c>
      <c r="M44" s="133">
        <v>0.25</v>
      </c>
      <c r="N44" s="133">
        <v>1.75</v>
      </c>
      <c r="O44" s="133">
        <v>0.75</v>
      </c>
      <c r="P44" s="135">
        <v>0</v>
      </c>
      <c r="Q44" s="77">
        <f t="shared" si="1"/>
        <v>100</v>
      </c>
      <c r="R44" s="78">
        <f>100/'2016 Totals'!R53*'2016 Totals'!R42</f>
        <v>2.5297242600556538</v>
      </c>
      <c r="S44" s="77">
        <v>69.81</v>
      </c>
      <c r="T44" s="137">
        <v>30.19</v>
      </c>
    </row>
    <row r="45" spans="2:20" ht="12.75">
      <c r="B45" s="73" t="s">
        <v>103</v>
      </c>
      <c r="C45" s="121">
        <v>3</v>
      </c>
      <c r="D45" s="121">
        <v>9</v>
      </c>
      <c r="E45" s="122" t="s">
        <v>39</v>
      </c>
      <c r="F45" s="133">
        <v>17.16</v>
      </c>
      <c r="G45" s="133">
        <v>15.28</v>
      </c>
      <c r="H45" s="133">
        <v>9.92</v>
      </c>
      <c r="I45" s="133">
        <v>14.21</v>
      </c>
      <c r="J45" s="133">
        <v>0</v>
      </c>
      <c r="K45" s="133">
        <v>27.35</v>
      </c>
      <c r="L45" s="133">
        <v>13.14</v>
      </c>
      <c r="M45" s="133">
        <v>0.27</v>
      </c>
      <c r="N45" s="133">
        <v>2.41</v>
      </c>
      <c r="O45" s="133">
        <v>0.27</v>
      </c>
      <c r="P45" s="135">
        <v>0.53</v>
      </c>
      <c r="Q45" s="77">
        <f t="shared" si="1"/>
        <v>99.47</v>
      </c>
      <c r="R45" s="78">
        <f>100/'2016 Totals'!R53*'2016 Totals'!R43</f>
        <v>2.3716164938021755</v>
      </c>
      <c r="S45" s="77">
        <v>63.78</v>
      </c>
      <c r="T45" s="137">
        <v>36.22</v>
      </c>
    </row>
    <row r="46" spans="2:20" ht="12.75">
      <c r="B46" s="73" t="s">
        <v>103</v>
      </c>
      <c r="C46" s="121">
        <v>3</v>
      </c>
      <c r="D46" s="121">
        <v>9</v>
      </c>
      <c r="E46" s="122" t="s">
        <v>40</v>
      </c>
      <c r="F46" s="133">
        <v>11.82</v>
      </c>
      <c r="G46" s="133">
        <v>13.55</v>
      </c>
      <c r="H46" s="133">
        <v>11.33</v>
      </c>
      <c r="I46" s="133">
        <v>16.75</v>
      </c>
      <c r="J46" s="133">
        <v>0</v>
      </c>
      <c r="K46" s="133">
        <v>26.11</v>
      </c>
      <c r="L46" s="133">
        <v>16.75</v>
      </c>
      <c r="M46" s="133">
        <v>0.25</v>
      </c>
      <c r="N46" s="133">
        <v>2.71</v>
      </c>
      <c r="O46" s="136">
        <v>0.74</v>
      </c>
      <c r="P46" s="76">
        <v>0.49</v>
      </c>
      <c r="Q46" s="77">
        <f t="shared" si="1"/>
        <v>99.51</v>
      </c>
      <c r="R46" s="78">
        <f>100/'2016 Totals'!R53*'2016 Totals'!R44</f>
        <v>2.580318745256767</v>
      </c>
      <c r="S46" s="77">
        <v>64.35</v>
      </c>
      <c r="T46" s="137">
        <v>35.65</v>
      </c>
    </row>
    <row r="47" spans="2:20" ht="12.75">
      <c r="B47" s="73" t="s">
        <v>102</v>
      </c>
      <c r="C47" s="121">
        <v>3</v>
      </c>
      <c r="D47" s="121">
        <v>10</v>
      </c>
      <c r="E47" s="122" t="s">
        <v>41</v>
      </c>
      <c r="F47" s="133">
        <v>20.51</v>
      </c>
      <c r="G47" s="133">
        <v>12.68</v>
      </c>
      <c r="H47" s="133">
        <v>7.61</v>
      </c>
      <c r="I47" s="133">
        <v>15.22</v>
      </c>
      <c r="J47" s="133">
        <v>0.21</v>
      </c>
      <c r="K47" s="133">
        <v>28.33</v>
      </c>
      <c r="L47" s="133">
        <v>12.9</v>
      </c>
      <c r="M47" s="133">
        <v>0</v>
      </c>
      <c r="N47" s="133">
        <v>2.54</v>
      </c>
      <c r="O47" s="133">
        <v>0</v>
      </c>
      <c r="P47" s="135">
        <v>1.66</v>
      </c>
      <c r="Q47" s="77">
        <f t="shared" si="1"/>
        <v>98.34</v>
      </c>
      <c r="R47" s="78">
        <f>100/'2016 Totals'!R53*'2016 Totals'!R45</f>
        <v>3.041993422716924</v>
      </c>
      <c r="S47" s="77">
        <v>70.53</v>
      </c>
      <c r="T47" s="137">
        <v>29.47</v>
      </c>
    </row>
    <row r="48" spans="2:20" ht="12.75">
      <c r="B48" s="73" t="s">
        <v>246</v>
      </c>
      <c r="C48" s="121">
        <v>3</v>
      </c>
      <c r="D48" s="121">
        <v>11</v>
      </c>
      <c r="E48" s="122" t="s">
        <v>39</v>
      </c>
      <c r="F48" s="133">
        <v>19.93</v>
      </c>
      <c r="G48" s="133">
        <v>14.05</v>
      </c>
      <c r="H48" s="133">
        <v>9.15</v>
      </c>
      <c r="I48" s="133">
        <v>22.55</v>
      </c>
      <c r="J48" s="133">
        <v>0</v>
      </c>
      <c r="K48" s="133">
        <v>17.65</v>
      </c>
      <c r="L48" s="133">
        <v>13.4</v>
      </c>
      <c r="M48" s="133">
        <v>0.33</v>
      </c>
      <c r="N48" s="133">
        <v>1.96</v>
      </c>
      <c r="O48" s="133">
        <v>0.98</v>
      </c>
      <c r="P48" s="135">
        <v>0.33</v>
      </c>
      <c r="Q48" s="77">
        <f t="shared" si="1"/>
        <v>99.67</v>
      </c>
      <c r="R48" s="78">
        <f>100/'2016 Totals'!R53*'2016 Totals'!R46</f>
        <v>1.9415633695927144</v>
      </c>
      <c r="S48" s="77">
        <v>70.41</v>
      </c>
      <c r="T48" s="137">
        <v>29.59</v>
      </c>
    </row>
    <row r="49" spans="2:20" ht="12.75">
      <c r="B49" s="73" t="s">
        <v>246</v>
      </c>
      <c r="C49" s="121">
        <v>3</v>
      </c>
      <c r="D49" s="121">
        <v>11</v>
      </c>
      <c r="E49" s="122" t="s">
        <v>40</v>
      </c>
      <c r="F49" s="133">
        <v>18.04</v>
      </c>
      <c r="G49" s="133">
        <v>11.93</v>
      </c>
      <c r="H49" s="133">
        <v>7.34</v>
      </c>
      <c r="I49" s="133">
        <v>19.88</v>
      </c>
      <c r="J49" s="133">
        <v>0.31</v>
      </c>
      <c r="K49" s="133">
        <v>22.32</v>
      </c>
      <c r="L49" s="133">
        <v>16.51</v>
      </c>
      <c r="M49" s="133">
        <v>0.61</v>
      </c>
      <c r="N49" s="133">
        <v>1.83</v>
      </c>
      <c r="O49" s="136">
        <v>1.22</v>
      </c>
      <c r="P49" s="76">
        <v>0.3</v>
      </c>
      <c r="Q49" s="77">
        <f t="shared" si="1"/>
        <v>99.7</v>
      </c>
      <c r="R49" s="78">
        <f>100/'2016 Totals'!R53*'2016 Totals'!R47</f>
        <v>2.074373893245636</v>
      </c>
      <c r="S49" s="77">
        <v>63.08</v>
      </c>
      <c r="T49" s="137">
        <v>36.92</v>
      </c>
    </row>
    <row r="50" spans="2:20" ht="12.75">
      <c r="B50" s="73" t="s">
        <v>248</v>
      </c>
      <c r="C50" s="121">
        <v>3</v>
      </c>
      <c r="D50" s="121">
        <v>12</v>
      </c>
      <c r="E50" s="122" t="s">
        <v>39</v>
      </c>
      <c r="F50" s="133">
        <v>16.1</v>
      </c>
      <c r="G50" s="133">
        <v>10.98</v>
      </c>
      <c r="H50" s="133">
        <v>7.32</v>
      </c>
      <c r="I50" s="133">
        <v>15.12</v>
      </c>
      <c r="J50" s="133">
        <v>0.49</v>
      </c>
      <c r="K50" s="133">
        <v>29.02</v>
      </c>
      <c r="L50" s="133">
        <v>18.05</v>
      </c>
      <c r="M50" s="133">
        <v>0.24</v>
      </c>
      <c r="N50" s="133">
        <v>1.95</v>
      </c>
      <c r="O50" s="133">
        <v>0.73</v>
      </c>
      <c r="P50" s="135">
        <v>2.15</v>
      </c>
      <c r="Q50" s="77">
        <f t="shared" si="1"/>
        <v>97.85</v>
      </c>
      <c r="R50" s="78">
        <f>100/'2016 Totals'!R53*'2016 Totals'!R48</f>
        <v>2.6498861624082974</v>
      </c>
      <c r="S50" s="77">
        <v>62.07</v>
      </c>
      <c r="T50" s="137">
        <v>37.93</v>
      </c>
    </row>
    <row r="51" spans="2:20" ht="12.75">
      <c r="B51" s="73" t="s">
        <v>248</v>
      </c>
      <c r="C51" s="121">
        <v>3</v>
      </c>
      <c r="D51" s="121">
        <v>12</v>
      </c>
      <c r="E51" s="122" t="s">
        <v>40</v>
      </c>
      <c r="F51" s="133">
        <v>14.32</v>
      </c>
      <c r="G51" s="133">
        <v>8.54</v>
      </c>
      <c r="H51" s="133">
        <v>6.28</v>
      </c>
      <c r="I51" s="133">
        <v>16.58</v>
      </c>
      <c r="J51" s="133">
        <v>0.25</v>
      </c>
      <c r="K51" s="133">
        <v>27.89</v>
      </c>
      <c r="L51" s="133">
        <v>22.11</v>
      </c>
      <c r="M51" s="133">
        <v>0.25</v>
      </c>
      <c r="N51" s="133">
        <v>2.76</v>
      </c>
      <c r="O51" s="133">
        <v>1.01</v>
      </c>
      <c r="P51" s="135">
        <v>0.25</v>
      </c>
      <c r="Q51" s="77">
        <f t="shared" si="1"/>
        <v>99.75</v>
      </c>
      <c r="R51" s="78">
        <f>100/'2016 Totals'!R53*'2016 Totals'!R49</f>
        <v>2.523399949405515</v>
      </c>
      <c r="S51" s="77">
        <v>61.29</v>
      </c>
      <c r="T51" s="137">
        <v>38.71</v>
      </c>
    </row>
    <row r="52" spans="2:20" ht="12.75">
      <c r="B52" s="73" t="s">
        <v>248</v>
      </c>
      <c r="C52" s="121">
        <v>3</v>
      </c>
      <c r="D52" s="121">
        <v>13</v>
      </c>
      <c r="E52" s="122" t="s">
        <v>39</v>
      </c>
      <c r="F52" s="133">
        <v>16.61</v>
      </c>
      <c r="G52" s="133">
        <v>5.3</v>
      </c>
      <c r="H52" s="133">
        <v>4.95</v>
      </c>
      <c r="I52" s="133">
        <v>14.13</v>
      </c>
      <c r="J52" s="133">
        <v>0</v>
      </c>
      <c r="K52" s="133">
        <v>35.34</v>
      </c>
      <c r="L52" s="133">
        <v>21.91</v>
      </c>
      <c r="M52" s="133">
        <v>0.35</v>
      </c>
      <c r="N52" s="133">
        <v>0.71</v>
      </c>
      <c r="O52" s="133">
        <v>0.71</v>
      </c>
      <c r="P52" s="135">
        <v>1.05</v>
      </c>
      <c r="Q52" s="77">
        <f t="shared" si="1"/>
        <v>98.95</v>
      </c>
      <c r="R52" s="78">
        <f>100/'2016 Totals'!R53*'2016 Totals'!R50</f>
        <v>1.8087528459397926</v>
      </c>
      <c r="S52" s="77">
        <v>66.82</v>
      </c>
      <c r="T52" s="137">
        <v>33.18</v>
      </c>
    </row>
    <row r="53" spans="2:20" ht="12.75">
      <c r="B53" s="73" t="s">
        <v>248</v>
      </c>
      <c r="C53" s="122">
        <v>3</v>
      </c>
      <c r="D53" s="122">
        <v>13</v>
      </c>
      <c r="E53" s="122" t="s">
        <v>40</v>
      </c>
      <c r="F53" s="133">
        <v>19.01</v>
      </c>
      <c r="G53" s="133">
        <v>7.85</v>
      </c>
      <c r="H53" s="133">
        <v>5.79</v>
      </c>
      <c r="I53" s="133">
        <v>16.53</v>
      </c>
      <c r="J53" s="133">
        <v>0</v>
      </c>
      <c r="K53" s="133">
        <v>30.99</v>
      </c>
      <c r="L53" s="133">
        <v>16.94</v>
      </c>
      <c r="M53" s="133">
        <v>0.83</v>
      </c>
      <c r="N53" s="133">
        <v>1.65</v>
      </c>
      <c r="O53" s="133">
        <v>0.41</v>
      </c>
      <c r="P53" s="135">
        <v>1.63</v>
      </c>
      <c r="Q53" s="77">
        <f t="shared" si="1"/>
        <v>98.37</v>
      </c>
      <c r="R53" s="78">
        <f>100/'2016 Totals'!R53*'2016 Totals'!R51</f>
        <v>1.6190235264356185</v>
      </c>
      <c r="S53" s="77">
        <v>67.21</v>
      </c>
      <c r="T53" s="137">
        <v>32.79</v>
      </c>
    </row>
    <row r="54" spans="2:20" ht="12.75">
      <c r="B54" s="6"/>
      <c r="C54" s="7"/>
      <c r="D54" s="7"/>
      <c r="E54" s="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32"/>
      <c r="S54" s="77"/>
      <c r="T54" s="137"/>
    </row>
    <row r="55" spans="1:20" ht="12.75">
      <c r="A55" s="5"/>
      <c r="B55" s="9" t="s">
        <v>89</v>
      </c>
      <c r="C55" s="10"/>
      <c r="D55" s="10"/>
      <c r="E55" s="10"/>
      <c r="F55" s="78">
        <v>17.46</v>
      </c>
      <c r="G55" s="78">
        <v>14.45</v>
      </c>
      <c r="H55" s="78">
        <v>9.77</v>
      </c>
      <c r="I55" s="78">
        <v>13.86</v>
      </c>
      <c r="J55" s="78">
        <v>0.12</v>
      </c>
      <c r="K55" s="78">
        <v>25.95</v>
      </c>
      <c r="L55" s="78">
        <v>15.35</v>
      </c>
      <c r="M55" s="78">
        <v>0.27</v>
      </c>
      <c r="N55" s="78">
        <v>2.11</v>
      </c>
      <c r="O55" s="78">
        <v>0.66</v>
      </c>
      <c r="P55" s="78">
        <v>0.88</v>
      </c>
      <c r="Q55" s="78">
        <v>99.12</v>
      </c>
      <c r="R55" s="81">
        <f>SUM(R10:R53)</f>
        <v>100.00000000000001</v>
      </c>
      <c r="S55" s="78">
        <v>62.58</v>
      </c>
      <c r="T55" s="141">
        <v>37.42</v>
      </c>
    </row>
    <row r="56" spans="2:20" ht="13.5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5"/>
    </row>
    <row r="58" spans="2:18" ht="12.75">
      <c r="B58" t="s">
        <v>157</v>
      </c>
      <c r="C58" s="52" t="s">
        <v>254</v>
      </c>
      <c r="D58" s="52"/>
      <c r="E58" s="52" t="s">
        <v>136</v>
      </c>
      <c r="F58" s="68"/>
      <c r="J58" s="52"/>
      <c r="K58" s="52"/>
      <c r="L58" s="52" t="s">
        <v>277</v>
      </c>
      <c r="M58" s="52"/>
      <c r="O58" s="52" t="s">
        <v>261</v>
      </c>
      <c r="R58" s="72"/>
    </row>
    <row r="59" spans="3:18" ht="12.75">
      <c r="C59" s="52" t="s">
        <v>256</v>
      </c>
      <c r="D59" s="52"/>
      <c r="E59" s="52" t="s">
        <v>171</v>
      </c>
      <c r="F59" s="52"/>
      <c r="G59" s="50"/>
      <c r="I59" s="43"/>
      <c r="J59" s="52"/>
      <c r="K59" s="52"/>
      <c r="L59" s="52" t="s">
        <v>7</v>
      </c>
      <c r="M59" s="52"/>
      <c r="O59" s="52" t="s">
        <v>187</v>
      </c>
      <c r="P59" s="43"/>
      <c r="Q59" s="43"/>
      <c r="R59" s="42"/>
    </row>
    <row r="60" spans="3:15" ht="12.75">
      <c r="C60" s="52" t="s">
        <v>276</v>
      </c>
      <c r="D60" s="52"/>
      <c r="E60" s="52" t="s">
        <v>278</v>
      </c>
      <c r="F60" s="52"/>
      <c r="G60" s="50"/>
      <c r="J60" s="52"/>
      <c r="K60" s="52"/>
      <c r="L60" s="52" t="s">
        <v>253</v>
      </c>
      <c r="M60" s="52"/>
      <c r="O60" s="52" t="s">
        <v>253</v>
      </c>
    </row>
    <row r="61" spans="3:15" ht="12.75">
      <c r="C61" s="52" t="s">
        <v>250</v>
      </c>
      <c r="D61" s="52"/>
      <c r="E61" s="52" t="s">
        <v>259</v>
      </c>
      <c r="F61" s="52"/>
      <c r="G61" s="50"/>
      <c r="J61" s="52"/>
      <c r="K61" s="52"/>
      <c r="L61" s="52" t="s">
        <v>177</v>
      </c>
      <c r="M61" s="52"/>
      <c r="O61" s="52" t="s">
        <v>188</v>
      </c>
    </row>
    <row r="62" spans="3:11" ht="12.75">
      <c r="C62" s="52" t="s">
        <v>110</v>
      </c>
      <c r="D62" s="52"/>
      <c r="E62" s="52" t="s">
        <v>184</v>
      </c>
      <c r="F62" s="52"/>
      <c r="G62" s="50"/>
      <c r="J62" s="52"/>
      <c r="K62" s="52"/>
    </row>
    <row r="63" spans="3:13" ht="12.75">
      <c r="C63" s="52"/>
      <c r="D63" s="52"/>
      <c r="E63" s="52"/>
      <c r="F63" s="52"/>
      <c r="G63" s="50"/>
      <c r="J63" s="52"/>
      <c r="K63" s="52"/>
      <c r="M63" s="52"/>
    </row>
    <row r="64" spans="6:13" ht="12.75">
      <c r="F64" s="52"/>
      <c r="G64" s="50"/>
      <c r="M64" s="52"/>
    </row>
    <row r="65" spans="3:13" ht="12.75">
      <c r="C65" s="52"/>
      <c r="D65" s="52"/>
      <c r="E65" s="52"/>
      <c r="F65" s="52"/>
      <c r="G65" s="50"/>
      <c r="M65" s="52"/>
    </row>
    <row r="66" spans="6:7" ht="12.75">
      <c r="F66" s="52"/>
      <c r="G66" s="50"/>
    </row>
    <row r="67" spans="3:7" ht="12.75">
      <c r="C67" s="52"/>
      <c r="D67" s="52"/>
      <c r="E67" s="51"/>
      <c r="F67" s="50"/>
      <c r="G67" s="50"/>
    </row>
    <row r="68" spans="3:7" ht="12.75">
      <c r="C68" s="52"/>
      <c r="D68" s="52"/>
      <c r="E68" s="51"/>
      <c r="F68" s="50"/>
      <c r="G68" s="50"/>
    </row>
    <row r="69" spans="3:7" ht="12.75">
      <c r="C69" s="52"/>
      <c r="D69" s="52"/>
      <c r="E69" s="51"/>
      <c r="F69" s="50"/>
      <c r="G69" s="50"/>
    </row>
    <row r="70" spans="3:7" ht="12.75">
      <c r="C70" s="52"/>
      <c r="D70" s="52"/>
      <c r="E70" s="51"/>
      <c r="F70" s="50"/>
      <c r="G70" s="50"/>
    </row>
    <row r="71" spans="3:7" ht="12.75">
      <c r="C71" s="52"/>
      <c r="D71" s="52"/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5:7" ht="12.75"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5:7" ht="12.75">
      <c r="E84" s="51"/>
      <c r="F84" s="50"/>
      <c r="G84" s="50"/>
    </row>
    <row r="85" spans="5:7" ht="12.75">
      <c r="E85" s="51"/>
      <c r="F85" s="50"/>
      <c r="G85" s="50"/>
    </row>
    <row r="86" spans="3:7" ht="12.75">
      <c r="C86" s="44"/>
      <c r="F86" s="50"/>
      <c r="G86" s="50"/>
    </row>
  </sheetData>
  <sheetProtection/>
  <mergeCells count="3">
    <mergeCell ref="B1:K1"/>
    <mergeCell ref="B3:K3"/>
    <mergeCell ref="B4:D4"/>
  </mergeCells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70"/>
  <sheetViews>
    <sheetView workbookViewId="0" topLeftCell="A28">
      <selection activeCell="A45" sqref="A1:AU45"/>
    </sheetView>
  </sheetViews>
  <sheetFormatPr defaultColWidth="11.421875" defaultRowHeight="12.75"/>
  <cols>
    <col min="1" max="1" width="40.28125" style="0" customWidth="1"/>
    <col min="2" max="2" width="8.7109375" style="0" customWidth="1"/>
    <col min="3" max="3" width="7.57421875" style="0" customWidth="1"/>
    <col min="4" max="4" width="7.7109375" style="0" customWidth="1"/>
    <col min="5" max="33" width="6.7109375" style="0" customWidth="1"/>
    <col min="34" max="34" width="8.140625" style="0" customWidth="1"/>
    <col min="35" max="45" width="6.7109375" style="0" customWidth="1"/>
    <col min="46" max="47" width="8.421875" style="0" customWidth="1"/>
  </cols>
  <sheetData>
    <row r="1" spans="1:47" ht="15">
      <c r="A1" s="150" t="s">
        <v>268</v>
      </c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2"/>
      <c r="AU1" s="85"/>
    </row>
    <row r="2" spans="1:47" ht="12.75">
      <c r="A2" s="53" t="s">
        <v>0</v>
      </c>
      <c r="B2" s="4"/>
      <c r="C2" s="1"/>
      <c r="D2" s="1"/>
      <c r="E2" s="1"/>
      <c r="G2" s="2"/>
      <c r="H2" s="2"/>
      <c r="I2" s="2"/>
      <c r="J2" s="2"/>
      <c r="K2" s="2"/>
      <c r="L2" s="2"/>
      <c r="M2" s="2"/>
      <c r="AU2" s="85"/>
    </row>
    <row r="3" spans="1:47" ht="12.75">
      <c r="A3" s="149" t="s">
        <v>90</v>
      </c>
      <c r="B3" s="149"/>
      <c r="C3" s="149"/>
      <c r="D3" s="149"/>
      <c r="E3" s="149"/>
      <c r="F3" s="148"/>
      <c r="G3" s="148"/>
      <c r="H3" s="148"/>
      <c r="I3" s="148"/>
      <c r="J3" s="148"/>
      <c r="K3" s="148"/>
      <c r="L3" s="148"/>
      <c r="M3" s="148"/>
      <c r="AU3" s="85"/>
    </row>
    <row r="4" spans="1:47" ht="12.75">
      <c r="A4" s="146" t="s">
        <v>1</v>
      </c>
      <c r="B4" s="146"/>
      <c r="C4" s="146"/>
      <c r="D4" s="1"/>
      <c r="E4" s="1"/>
      <c r="G4" s="2"/>
      <c r="H4" s="2"/>
      <c r="I4" s="2"/>
      <c r="J4" s="2"/>
      <c r="K4" s="2"/>
      <c r="L4" s="2"/>
      <c r="M4" s="2"/>
      <c r="AU4" s="85"/>
    </row>
    <row r="5" spans="12:47" ht="13.5" thickBot="1">
      <c r="L5" s="84"/>
      <c r="AU5" s="85"/>
    </row>
    <row r="6" spans="1:47" ht="15">
      <c r="A6" s="86" t="s">
        <v>191</v>
      </c>
      <c r="B6" s="87">
        <v>1</v>
      </c>
      <c r="C6" s="87">
        <v>1</v>
      </c>
      <c r="D6" s="88">
        <v>1</v>
      </c>
      <c r="E6" s="88">
        <v>1</v>
      </c>
      <c r="F6" s="87">
        <v>1</v>
      </c>
      <c r="G6" s="87">
        <v>1</v>
      </c>
      <c r="H6" s="87">
        <v>2</v>
      </c>
      <c r="I6" s="87">
        <v>2</v>
      </c>
      <c r="J6" s="87">
        <v>2</v>
      </c>
      <c r="K6" s="87">
        <v>2</v>
      </c>
      <c r="L6" s="89">
        <v>2</v>
      </c>
      <c r="M6" s="87">
        <v>2</v>
      </c>
      <c r="N6" s="87">
        <v>2</v>
      </c>
      <c r="O6" s="87">
        <v>2</v>
      </c>
      <c r="P6" s="87">
        <v>2</v>
      </c>
      <c r="Q6" s="87">
        <v>2</v>
      </c>
      <c r="R6" s="87">
        <v>2</v>
      </c>
      <c r="S6" s="87">
        <v>2</v>
      </c>
      <c r="T6" s="87">
        <v>3</v>
      </c>
      <c r="U6" s="87">
        <v>3</v>
      </c>
      <c r="V6" s="87">
        <v>3</v>
      </c>
      <c r="W6" s="87">
        <v>3</v>
      </c>
      <c r="X6" s="87">
        <v>3</v>
      </c>
      <c r="Y6" s="87">
        <v>3</v>
      </c>
      <c r="Z6" s="87">
        <v>3</v>
      </c>
      <c r="AA6" s="87">
        <v>3</v>
      </c>
      <c r="AB6" s="87">
        <v>3</v>
      </c>
      <c r="AC6" s="87">
        <v>3</v>
      </c>
      <c r="AD6" s="87">
        <v>3</v>
      </c>
      <c r="AE6" s="87">
        <v>3</v>
      </c>
      <c r="AF6" s="87">
        <v>3</v>
      </c>
      <c r="AG6" s="87">
        <v>3</v>
      </c>
      <c r="AH6" s="87">
        <v>3</v>
      </c>
      <c r="AI6" s="88">
        <v>3</v>
      </c>
      <c r="AJ6" s="87">
        <v>3</v>
      </c>
      <c r="AK6" s="87">
        <v>3</v>
      </c>
      <c r="AL6" s="87">
        <v>3</v>
      </c>
      <c r="AM6" s="87">
        <v>3</v>
      </c>
      <c r="AN6" s="87">
        <v>3</v>
      </c>
      <c r="AO6" s="87">
        <v>3</v>
      </c>
      <c r="AP6" s="87">
        <v>3</v>
      </c>
      <c r="AQ6" s="88">
        <v>3</v>
      </c>
      <c r="AR6" s="87">
        <v>3</v>
      </c>
      <c r="AS6" s="88">
        <v>3</v>
      </c>
      <c r="AT6" s="152" t="s">
        <v>26</v>
      </c>
      <c r="AU6" s="155" t="s">
        <v>46</v>
      </c>
    </row>
    <row r="7" spans="1:47" ht="15">
      <c r="A7" s="90" t="s">
        <v>192</v>
      </c>
      <c r="B7" s="91">
        <v>1</v>
      </c>
      <c r="C7" s="91">
        <v>1</v>
      </c>
      <c r="D7" s="92">
        <v>2</v>
      </c>
      <c r="E7" s="92">
        <v>2</v>
      </c>
      <c r="F7" s="91">
        <v>3</v>
      </c>
      <c r="G7" s="91">
        <v>3</v>
      </c>
      <c r="H7" s="91">
        <v>1</v>
      </c>
      <c r="I7" s="91">
        <v>1</v>
      </c>
      <c r="J7" s="91">
        <v>2</v>
      </c>
      <c r="K7" s="91">
        <v>2</v>
      </c>
      <c r="L7" s="93">
        <v>3</v>
      </c>
      <c r="M7" s="91">
        <v>3</v>
      </c>
      <c r="N7" s="91">
        <v>3</v>
      </c>
      <c r="O7" s="91">
        <v>4</v>
      </c>
      <c r="P7" s="91">
        <v>4</v>
      </c>
      <c r="Q7" s="91">
        <v>5</v>
      </c>
      <c r="R7" s="91">
        <v>5</v>
      </c>
      <c r="S7" s="91">
        <v>5</v>
      </c>
      <c r="T7" s="91">
        <v>1</v>
      </c>
      <c r="U7" s="91">
        <v>1</v>
      </c>
      <c r="V7" s="91">
        <v>2</v>
      </c>
      <c r="W7" s="91">
        <v>2</v>
      </c>
      <c r="X7" s="91">
        <v>3</v>
      </c>
      <c r="Y7" s="91">
        <v>3</v>
      </c>
      <c r="Z7" s="91">
        <v>4</v>
      </c>
      <c r="AA7" s="91">
        <v>4</v>
      </c>
      <c r="AB7" s="91">
        <v>5</v>
      </c>
      <c r="AC7" s="91">
        <v>5</v>
      </c>
      <c r="AD7" s="91">
        <v>6</v>
      </c>
      <c r="AE7" s="91">
        <v>6</v>
      </c>
      <c r="AF7" s="91">
        <v>7</v>
      </c>
      <c r="AG7" s="91">
        <v>7</v>
      </c>
      <c r="AH7" s="91">
        <v>8</v>
      </c>
      <c r="AI7" s="92">
        <v>8</v>
      </c>
      <c r="AJ7" s="91">
        <v>8</v>
      </c>
      <c r="AK7" s="91">
        <v>9</v>
      </c>
      <c r="AL7" s="91">
        <v>9</v>
      </c>
      <c r="AM7" s="91">
        <v>10</v>
      </c>
      <c r="AN7" s="91">
        <v>11</v>
      </c>
      <c r="AO7" s="91">
        <v>11</v>
      </c>
      <c r="AP7" s="91">
        <v>12</v>
      </c>
      <c r="AQ7" s="92">
        <v>12</v>
      </c>
      <c r="AR7" s="91">
        <v>13</v>
      </c>
      <c r="AS7" s="92">
        <v>13</v>
      </c>
      <c r="AT7" s="153"/>
      <c r="AU7" s="156"/>
    </row>
    <row r="8" spans="1:47" ht="15.75" thickBot="1">
      <c r="A8" s="94" t="s">
        <v>193</v>
      </c>
      <c r="B8" s="95" t="s">
        <v>39</v>
      </c>
      <c r="C8" s="95" t="s">
        <v>40</v>
      </c>
      <c r="D8" s="95" t="s">
        <v>39</v>
      </c>
      <c r="E8" s="95" t="s">
        <v>40</v>
      </c>
      <c r="F8" s="95" t="s">
        <v>39</v>
      </c>
      <c r="G8" s="95" t="s">
        <v>40</v>
      </c>
      <c r="H8" s="95" t="s">
        <v>39</v>
      </c>
      <c r="I8" s="95" t="s">
        <v>40</v>
      </c>
      <c r="J8" s="95" t="s">
        <v>39</v>
      </c>
      <c r="K8" s="95" t="s">
        <v>40</v>
      </c>
      <c r="L8" s="96" t="s">
        <v>39</v>
      </c>
      <c r="M8" s="95" t="s">
        <v>40</v>
      </c>
      <c r="N8" s="95" t="s">
        <v>92</v>
      </c>
      <c r="O8" s="97" t="s">
        <v>39</v>
      </c>
      <c r="P8" s="97" t="s">
        <v>40</v>
      </c>
      <c r="Q8" s="95" t="s">
        <v>39</v>
      </c>
      <c r="R8" s="95" t="s">
        <v>40</v>
      </c>
      <c r="S8" s="95" t="s">
        <v>92</v>
      </c>
      <c r="T8" s="95" t="s">
        <v>39</v>
      </c>
      <c r="U8" s="95" t="s">
        <v>40</v>
      </c>
      <c r="V8" s="95" t="s">
        <v>39</v>
      </c>
      <c r="W8" s="95" t="s">
        <v>40</v>
      </c>
      <c r="X8" s="95" t="s">
        <v>39</v>
      </c>
      <c r="Y8" s="95" t="s">
        <v>40</v>
      </c>
      <c r="Z8" s="95" t="s">
        <v>39</v>
      </c>
      <c r="AA8" s="95" t="s">
        <v>40</v>
      </c>
      <c r="AB8" s="95" t="s">
        <v>39</v>
      </c>
      <c r="AC8" s="95" t="s">
        <v>40</v>
      </c>
      <c r="AD8" s="95" t="s">
        <v>39</v>
      </c>
      <c r="AE8" s="95" t="s">
        <v>40</v>
      </c>
      <c r="AF8" s="95" t="s">
        <v>39</v>
      </c>
      <c r="AG8" s="95" t="s">
        <v>40</v>
      </c>
      <c r="AH8" s="95" t="s">
        <v>39</v>
      </c>
      <c r="AI8" s="95" t="s">
        <v>40</v>
      </c>
      <c r="AJ8" s="95" t="s">
        <v>92</v>
      </c>
      <c r="AK8" s="95" t="s">
        <v>39</v>
      </c>
      <c r="AL8" s="95" t="s">
        <v>40</v>
      </c>
      <c r="AM8" s="95" t="s">
        <v>41</v>
      </c>
      <c r="AN8" s="95" t="s">
        <v>39</v>
      </c>
      <c r="AO8" s="95" t="s">
        <v>40</v>
      </c>
      <c r="AP8" s="95" t="s">
        <v>39</v>
      </c>
      <c r="AQ8" s="95" t="s">
        <v>40</v>
      </c>
      <c r="AR8" s="95" t="s">
        <v>39</v>
      </c>
      <c r="AS8" s="95" t="s">
        <v>40</v>
      </c>
      <c r="AT8" s="154"/>
      <c r="AU8" s="157"/>
    </row>
    <row r="9" spans="1:48" ht="15" customHeight="1">
      <c r="A9" s="98" t="s">
        <v>199</v>
      </c>
      <c r="B9" s="106">
        <v>57</v>
      </c>
      <c r="C9" s="106">
        <v>73</v>
      </c>
      <c r="D9" s="106">
        <v>58</v>
      </c>
      <c r="E9" s="106">
        <v>64</v>
      </c>
      <c r="F9" s="106">
        <v>35</v>
      </c>
      <c r="G9" s="106">
        <v>41</v>
      </c>
      <c r="H9" s="106">
        <v>42</v>
      </c>
      <c r="I9" s="106">
        <v>46</v>
      </c>
      <c r="J9" s="106">
        <v>50</v>
      </c>
      <c r="K9" s="106">
        <v>68</v>
      </c>
      <c r="L9" s="106">
        <v>36</v>
      </c>
      <c r="M9" s="106">
        <v>15</v>
      </c>
      <c r="N9" s="106">
        <v>19</v>
      </c>
      <c r="O9" s="106">
        <v>40</v>
      </c>
      <c r="P9" s="106">
        <v>49</v>
      </c>
      <c r="Q9" s="106">
        <v>24</v>
      </c>
      <c r="R9" s="106">
        <v>17</v>
      </c>
      <c r="S9" s="106">
        <v>17</v>
      </c>
      <c r="T9" s="106">
        <v>32</v>
      </c>
      <c r="U9" s="106">
        <v>41</v>
      </c>
      <c r="V9" s="106">
        <v>67</v>
      </c>
      <c r="W9" s="106">
        <v>30</v>
      </c>
      <c r="X9" s="106">
        <v>41</v>
      </c>
      <c r="Y9" s="106">
        <v>53</v>
      </c>
      <c r="Z9" s="106">
        <v>19</v>
      </c>
      <c r="AA9" s="106">
        <v>28</v>
      </c>
      <c r="AB9" s="106">
        <v>27</v>
      </c>
      <c r="AC9" s="106">
        <v>32</v>
      </c>
      <c r="AD9" s="106">
        <v>89</v>
      </c>
      <c r="AE9" s="106">
        <v>60</v>
      </c>
      <c r="AF9" s="106">
        <v>33</v>
      </c>
      <c r="AG9" s="106">
        <v>27</v>
      </c>
      <c r="AH9" s="106">
        <v>16</v>
      </c>
      <c r="AI9" s="106">
        <v>12</v>
      </c>
      <c r="AJ9" s="106">
        <v>19</v>
      </c>
      <c r="AK9" s="106">
        <v>38</v>
      </c>
      <c r="AL9" s="106">
        <v>47</v>
      </c>
      <c r="AM9" s="106">
        <v>43</v>
      </c>
      <c r="AN9" s="106">
        <v>31</v>
      </c>
      <c r="AO9" s="106">
        <v>26</v>
      </c>
      <c r="AP9" s="106">
        <v>35</v>
      </c>
      <c r="AQ9" s="106">
        <v>28</v>
      </c>
      <c r="AR9" s="106">
        <v>16</v>
      </c>
      <c r="AS9" s="106">
        <v>16</v>
      </c>
      <c r="AT9" s="115">
        <f>SUM(B9:AS9)</f>
        <v>1657</v>
      </c>
      <c r="AU9" s="107">
        <v>11.29</v>
      </c>
      <c r="AV9" s="158"/>
    </row>
    <row r="10" spans="1:48" ht="15" customHeight="1">
      <c r="A10" s="99" t="s">
        <v>269</v>
      </c>
      <c r="B10" s="108">
        <v>54</v>
      </c>
      <c r="C10" s="108">
        <v>67</v>
      </c>
      <c r="D10" s="108">
        <v>53</v>
      </c>
      <c r="E10" s="108">
        <v>59</v>
      </c>
      <c r="F10" s="108">
        <v>26</v>
      </c>
      <c r="G10" s="108">
        <v>32</v>
      </c>
      <c r="H10" s="108">
        <v>35</v>
      </c>
      <c r="I10" s="108">
        <v>42</v>
      </c>
      <c r="J10" s="108">
        <v>48</v>
      </c>
      <c r="K10" s="108">
        <v>61</v>
      </c>
      <c r="L10" s="108">
        <v>32</v>
      </c>
      <c r="M10" s="108">
        <v>12</v>
      </c>
      <c r="N10" s="108">
        <v>18</v>
      </c>
      <c r="O10" s="108">
        <v>36</v>
      </c>
      <c r="P10" s="108">
        <v>46</v>
      </c>
      <c r="Q10" s="108">
        <v>25</v>
      </c>
      <c r="R10" s="108">
        <v>13</v>
      </c>
      <c r="S10" s="108">
        <v>13</v>
      </c>
      <c r="T10" s="108">
        <v>30</v>
      </c>
      <c r="U10" s="108">
        <v>39</v>
      </c>
      <c r="V10" s="108">
        <v>51</v>
      </c>
      <c r="W10" s="108">
        <v>31</v>
      </c>
      <c r="X10" s="108">
        <v>37</v>
      </c>
      <c r="Y10" s="108">
        <v>48</v>
      </c>
      <c r="Z10" s="108">
        <v>18</v>
      </c>
      <c r="AA10" s="108">
        <v>26</v>
      </c>
      <c r="AB10" s="108">
        <v>24</v>
      </c>
      <c r="AC10" s="108">
        <v>27</v>
      </c>
      <c r="AD10" s="108">
        <v>71</v>
      </c>
      <c r="AE10" s="108">
        <v>58</v>
      </c>
      <c r="AF10" s="108">
        <v>29</v>
      </c>
      <c r="AG10" s="108">
        <v>21</v>
      </c>
      <c r="AH10" s="108">
        <v>11</v>
      </c>
      <c r="AI10" s="108">
        <v>10</v>
      </c>
      <c r="AJ10" s="108">
        <v>16</v>
      </c>
      <c r="AK10" s="108">
        <v>36</v>
      </c>
      <c r="AL10" s="108">
        <v>46</v>
      </c>
      <c r="AM10" s="108">
        <v>33</v>
      </c>
      <c r="AN10" s="108">
        <v>25</v>
      </c>
      <c r="AO10" s="108">
        <v>24</v>
      </c>
      <c r="AP10" s="108">
        <v>28</v>
      </c>
      <c r="AQ10" s="108">
        <v>28</v>
      </c>
      <c r="AR10" s="108">
        <v>14</v>
      </c>
      <c r="AS10" s="108">
        <v>13</v>
      </c>
      <c r="AT10" s="108">
        <f>SUM(B10:AS10)</f>
        <v>1466</v>
      </c>
      <c r="AU10" s="109">
        <v>9.99</v>
      </c>
      <c r="AV10" s="158"/>
    </row>
    <row r="11" spans="1:48" ht="15" customHeight="1">
      <c r="A11" s="99" t="s">
        <v>201</v>
      </c>
      <c r="B11" s="108">
        <v>52</v>
      </c>
      <c r="C11" s="108">
        <v>63</v>
      </c>
      <c r="D11" s="108">
        <v>50</v>
      </c>
      <c r="E11" s="108">
        <v>57</v>
      </c>
      <c r="F11" s="108">
        <v>20</v>
      </c>
      <c r="G11" s="108">
        <v>29</v>
      </c>
      <c r="H11" s="108">
        <v>35</v>
      </c>
      <c r="I11" s="108">
        <v>40</v>
      </c>
      <c r="J11" s="108">
        <v>51</v>
      </c>
      <c r="K11" s="108">
        <v>57</v>
      </c>
      <c r="L11" s="108">
        <v>30</v>
      </c>
      <c r="M11" s="108">
        <v>12</v>
      </c>
      <c r="N11" s="108">
        <v>15</v>
      </c>
      <c r="O11" s="108">
        <v>35</v>
      </c>
      <c r="P11" s="108">
        <v>43</v>
      </c>
      <c r="Q11" s="108">
        <v>23</v>
      </c>
      <c r="R11" s="108">
        <v>12</v>
      </c>
      <c r="S11" s="108">
        <v>13</v>
      </c>
      <c r="T11" s="108">
        <v>26</v>
      </c>
      <c r="U11" s="108">
        <v>38</v>
      </c>
      <c r="V11" s="108">
        <v>48</v>
      </c>
      <c r="W11" s="108">
        <v>30</v>
      </c>
      <c r="X11" s="108">
        <v>37</v>
      </c>
      <c r="Y11" s="108">
        <v>40</v>
      </c>
      <c r="Z11" s="108">
        <v>15</v>
      </c>
      <c r="AA11" s="108">
        <v>23</v>
      </c>
      <c r="AB11" s="108">
        <v>22</v>
      </c>
      <c r="AC11" s="108">
        <v>25</v>
      </c>
      <c r="AD11" s="108">
        <v>65</v>
      </c>
      <c r="AE11" s="108">
        <v>55</v>
      </c>
      <c r="AF11" s="108">
        <v>28</v>
      </c>
      <c r="AG11" s="108">
        <v>19</v>
      </c>
      <c r="AH11" s="108">
        <v>11</v>
      </c>
      <c r="AI11" s="108">
        <v>9</v>
      </c>
      <c r="AJ11" s="108">
        <v>10</v>
      </c>
      <c r="AK11" s="108">
        <v>34</v>
      </c>
      <c r="AL11" s="108">
        <v>41</v>
      </c>
      <c r="AM11" s="108">
        <v>31</v>
      </c>
      <c r="AN11" s="108">
        <v>23</v>
      </c>
      <c r="AO11" s="108">
        <v>23</v>
      </c>
      <c r="AP11" s="108">
        <v>27</v>
      </c>
      <c r="AQ11" s="108">
        <v>23</v>
      </c>
      <c r="AR11" s="108">
        <v>14</v>
      </c>
      <c r="AS11" s="108">
        <v>14</v>
      </c>
      <c r="AT11" s="108">
        <f>SUM(B11:AS11)</f>
        <v>1368</v>
      </c>
      <c r="AU11" s="109">
        <v>9.32</v>
      </c>
      <c r="AV11" s="158"/>
    </row>
    <row r="12" spans="1:47" ht="27" customHeight="1">
      <c r="A12" s="100" t="s">
        <v>270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</row>
    <row r="13" spans="1:48" ht="15" customHeight="1">
      <c r="A13" s="101" t="s">
        <v>194</v>
      </c>
      <c r="B13" s="108">
        <v>35</v>
      </c>
      <c r="C13" s="108">
        <v>42</v>
      </c>
      <c r="D13" s="108">
        <v>34</v>
      </c>
      <c r="E13" s="108">
        <v>29</v>
      </c>
      <c r="F13" s="108">
        <v>59</v>
      </c>
      <c r="G13" s="108">
        <v>89</v>
      </c>
      <c r="H13" s="108">
        <v>29</v>
      </c>
      <c r="I13" s="108">
        <v>39</v>
      </c>
      <c r="J13" s="108">
        <v>67</v>
      </c>
      <c r="K13" s="108">
        <v>66</v>
      </c>
      <c r="L13" s="108">
        <v>48</v>
      </c>
      <c r="M13" s="108">
        <v>51</v>
      </c>
      <c r="N13" s="108">
        <v>65</v>
      </c>
      <c r="O13" s="108">
        <v>59</v>
      </c>
      <c r="P13" s="108">
        <v>73</v>
      </c>
      <c r="Q13" s="108">
        <v>56</v>
      </c>
      <c r="R13" s="108">
        <v>78</v>
      </c>
      <c r="S13" s="108">
        <v>83</v>
      </c>
      <c r="T13" s="108">
        <v>56</v>
      </c>
      <c r="U13" s="108">
        <v>73</v>
      </c>
      <c r="V13" s="108">
        <v>75</v>
      </c>
      <c r="W13" s="108">
        <v>86</v>
      </c>
      <c r="X13" s="108">
        <v>61</v>
      </c>
      <c r="Y13" s="108">
        <v>56</v>
      </c>
      <c r="Z13" s="108">
        <v>92</v>
      </c>
      <c r="AA13" s="108">
        <v>76</v>
      </c>
      <c r="AB13" s="108">
        <v>54</v>
      </c>
      <c r="AC13" s="108">
        <v>44</v>
      </c>
      <c r="AD13" s="108">
        <v>73</v>
      </c>
      <c r="AE13" s="108">
        <v>73</v>
      </c>
      <c r="AF13" s="108">
        <v>30</v>
      </c>
      <c r="AG13" s="108">
        <v>36</v>
      </c>
      <c r="AH13" s="108">
        <v>62</v>
      </c>
      <c r="AI13" s="108">
        <v>72</v>
      </c>
      <c r="AJ13" s="108">
        <v>84</v>
      </c>
      <c r="AK13" s="108">
        <v>56</v>
      </c>
      <c r="AL13" s="108">
        <v>50</v>
      </c>
      <c r="AM13" s="108">
        <v>97</v>
      </c>
      <c r="AN13" s="108">
        <v>54</v>
      </c>
      <c r="AO13" s="108">
        <v>59</v>
      </c>
      <c r="AP13" s="108">
        <v>67</v>
      </c>
      <c r="AQ13" s="108">
        <v>54</v>
      </c>
      <c r="AR13" s="108">
        <v>50</v>
      </c>
      <c r="AS13" s="108">
        <v>47</v>
      </c>
      <c r="AT13" s="108">
        <f>SUM(B13:AS13)</f>
        <v>2639</v>
      </c>
      <c r="AU13" s="109">
        <v>17.98</v>
      </c>
      <c r="AV13" s="158"/>
    </row>
    <row r="14" spans="1:48" ht="15" customHeight="1">
      <c r="A14" s="101" t="s">
        <v>207</v>
      </c>
      <c r="B14" s="108">
        <v>34</v>
      </c>
      <c r="C14" s="108">
        <v>42</v>
      </c>
      <c r="D14" s="108">
        <v>31</v>
      </c>
      <c r="E14" s="108">
        <v>29</v>
      </c>
      <c r="F14" s="108">
        <v>57</v>
      </c>
      <c r="G14" s="108">
        <v>83</v>
      </c>
      <c r="H14" s="108">
        <v>28</v>
      </c>
      <c r="I14" s="108">
        <v>33</v>
      </c>
      <c r="J14" s="108">
        <v>68</v>
      </c>
      <c r="K14" s="108">
        <v>59</v>
      </c>
      <c r="L14" s="108">
        <v>46</v>
      </c>
      <c r="M14" s="108">
        <v>48</v>
      </c>
      <c r="N14" s="108">
        <v>60</v>
      </c>
      <c r="O14" s="108">
        <v>59</v>
      </c>
      <c r="P14" s="108">
        <v>67</v>
      </c>
      <c r="Q14" s="108">
        <v>46</v>
      </c>
      <c r="R14" s="108">
        <v>77</v>
      </c>
      <c r="S14" s="108">
        <v>79</v>
      </c>
      <c r="T14" s="108">
        <v>56</v>
      </c>
      <c r="U14" s="108">
        <v>64</v>
      </c>
      <c r="V14" s="108">
        <v>63</v>
      </c>
      <c r="W14" s="108">
        <v>90</v>
      </c>
      <c r="X14" s="108">
        <v>58</v>
      </c>
      <c r="Y14" s="108">
        <v>51</v>
      </c>
      <c r="Z14" s="108">
        <v>93</v>
      </c>
      <c r="AA14" s="108">
        <v>82</v>
      </c>
      <c r="AB14" s="108">
        <v>51</v>
      </c>
      <c r="AC14" s="108">
        <v>49</v>
      </c>
      <c r="AD14" s="108">
        <v>71</v>
      </c>
      <c r="AE14" s="108">
        <v>72</v>
      </c>
      <c r="AF14" s="108">
        <v>30</v>
      </c>
      <c r="AG14" s="108">
        <v>33</v>
      </c>
      <c r="AH14" s="108">
        <v>59</v>
      </c>
      <c r="AI14" s="108">
        <v>66</v>
      </c>
      <c r="AJ14" s="108">
        <v>87</v>
      </c>
      <c r="AK14" s="108">
        <v>49</v>
      </c>
      <c r="AL14" s="108">
        <v>41</v>
      </c>
      <c r="AM14" s="108">
        <v>91</v>
      </c>
      <c r="AN14" s="108">
        <v>55</v>
      </c>
      <c r="AO14" s="108">
        <v>59</v>
      </c>
      <c r="AP14" s="108">
        <v>62</v>
      </c>
      <c r="AQ14" s="108">
        <v>50</v>
      </c>
      <c r="AR14" s="108">
        <v>46</v>
      </c>
      <c r="AS14" s="108">
        <v>46</v>
      </c>
      <c r="AT14" s="108">
        <f>SUM(B14:AS14)</f>
        <v>2520</v>
      </c>
      <c r="AU14" s="109">
        <v>17.17</v>
      </c>
      <c r="AV14" s="158"/>
    </row>
    <row r="15" spans="1:48" ht="15" customHeight="1">
      <c r="A15" s="101" t="s">
        <v>208</v>
      </c>
      <c r="B15" s="108">
        <v>33</v>
      </c>
      <c r="C15" s="108">
        <v>39</v>
      </c>
      <c r="D15" s="108">
        <v>30</v>
      </c>
      <c r="E15" s="108">
        <v>28</v>
      </c>
      <c r="F15" s="108">
        <v>55</v>
      </c>
      <c r="G15" s="108">
        <v>78</v>
      </c>
      <c r="H15" s="108">
        <v>27</v>
      </c>
      <c r="I15" s="108">
        <v>33</v>
      </c>
      <c r="J15" s="108">
        <v>63</v>
      </c>
      <c r="K15" s="108">
        <v>61</v>
      </c>
      <c r="L15" s="108">
        <v>46</v>
      </c>
      <c r="M15" s="108">
        <v>43</v>
      </c>
      <c r="N15" s="108">
        <v>60</v>
      </c>
      <c r="O15" s="108">
        <v>55</v>
      </c>
      <c r="P15" s="108">
        <v>63</v>
      </c>
      <c r="Q15" s="108">
        <v>46</v>
      </c>
      <c r="R15" s="108">
        <v>75</v>
      </c>
      <c r="S15" s="108">
        <v>79</v>
      </c>
      <c r="T15" s="108">
        <v>55</v>
      </c>
      <c r="U15" s="108">
        <v>63</v>
      </c>
      <c r="V15" s="108">
        <v>63</v>
      </c>
      <c r="W15" s="108">
        <v>87</v>
      </c>
      <c r="X15" s="108">
        <v>56</v>
      </c>
      <c r="Y15" s="108">
        <v>50</v>
      </c>
      <c r="Z15" s="108">
        <v>85</v>
      </c>
      <c r="AA15" s="108">
        <v>83</v>
      </c>
      <c r="AB15" s="108">
        <v>49</v>
      </c>
      <c r="AC15" s="108">
        <v>40</v>
      </c>
      <c r="AD15" s="108">
        <v>70</v>
      </c>
      <c r="AE15" s="108">
        <v>69</v>
      </c>
      <c r="AF15" s="108">
        <v>30</v>
      </c>
      <c r="AG15" s="108">
        <v>31</v>
      </c>
      <c r="AH15" s="108">
        <v>58</v>
      </c>
      <c r="AI15" s="108">
        <v>63</v>
      </c>
      <c r="AJ15" s="108">
        <v>84</v>
      </c>
      <c r="AK15" s="108">
        <v>47</v>
      </c>
      <c r="AL15" s="108">
        <v>37</v>
      </c>
      <c r="AM15" s="108">
        <v>88</v>
      </c>
      <c r="AN15" s="108">
        <v>51</v>
      </c>
      <c r="AO15" s="108">
        <v>55</v>
      </c>
      <c r="AP15" s="108">
        <v>61</v>
      </c>
      <c r="AQ15" s="108">
        <v>51</v>
      </c>
      <c r="AR15" s="108">
        <v>44</v>
      </c>
      <c r="AS15" s="108">
        <v>43</v>
      </c>
      <c r="AT15" s="108">
        <f>SUM(B15:AS15)</f>
        <v>2427</v>
      </c>
      <c r="AU15" s="109">
        <v>16.54</v>
      </c>
      <c r="AV15" s="158"/>
    </row>
    <row r="16" spans="1:47" ht="27" customHeight="1">
      <c r="A16" s="100" t="s">
        <v>206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</row>
    <row r="17" spans="1:48" ht="15" customHeight="1">
      <c r="A17" s="101" t="s">
        <v>210</v>
      </c>
      <c r="B17" s="108">
        <v>47</v>
      </c>
      <c r="C17" s="108">
        <v>50</v>
      </c>
      <c r="D17" s="108">
        <v>63</v>
      </c>
      <c r="E17" s="108">
        <v>71</v>
      </c>
      <c r="F17" s="108">
        <v>99</v>
      </c>
      <c r="G17" s="108">
        <v>110</v>
      </c>
      <c r="H17" s="108">
        <v>53</v>
      </c>
      <c r="I17" s="108">
        <v>33</v>
      </c>
      <c r="J17" s="108">
        <v>66</v>
      </c>
      <c r="K17" s="108">
        <v>70</v>
      </c>
      <c r="L17" s="108">
        <v>69</v>
      </c>
      <c r="M17" s="108">
        <v>74</v>
      </c>
      <c r="N17" s="108">
        <v>70</v>
      </c>
      <c r="O17" s="108">
        <v>125</v>
      </c>
      <c r="P17" s="108">
        <v>108</v>
      </c>
      <c r="Q17" s="108">
        <v>100</v>
      </c>
      <c r="R17" s="108">
        <v>90</v>
      </c>
      <c r="S17" s="108">
        <v>87</v>
      </c>
      <c r="T17" s="108">
        <v>70</v>
      </c>
      <c r="U17" s="108">
        <v>77</v>
      </c>
      <c r="V17" s="108">
        <v>104</v>
      </c>
      <c r="W17" s="108">
        <v>106</v>
      </c>
      <c r="X17" s="108">
        <v>85</v>
      </c>
      <c r="Y17" s="108">
        <v>65</v>
      </c>
      <c r="Z17" s="108">
        <v>84</v>
      </c>
      <c r="AA17" s="108">
        <v>93</v>
      </c>
      <c r="AB17" s="108">
        <v>51</v>
      </c>
      <c r="AC17" s="108">
        <v>58</v>
      </c>
      <c r="AD17" s="108">
        <v>85</v>
      </c>
      <c r="AE17" s="108">
        <v>86</v>
      </c>
      <c r="AF17" s="108">
        <v>54</v>
      </c>
      <c r="AG17" s="108">
        <v>65</v>
      </c>
      <c r="AH17" s="108">
        <v>68</v>
      </c>
      <c r="AI17" s="108">
        <v>110</v>
      </c>
      <c r="AJ17" s="108">
        <v>94</v>
      </c>
      <c r="AK17" s="108">
        <v>89</v>
      </c>
      <c r="AL17" s="108">
        <v>103</v>
      </c>
      <c r="AM17" s="108">
        <v>119</v>
      </c>
      <c r="AN17" s="108">
        <v>46</v>
      </c>
      <c r="AO17" s="108">
        <v>65</v>
      </c>
      <c r="AP17" s="108">
        <v>109</v>
      </c>
      <c r="AQ17" s="108">
        <v>97</v>
      </c>
      <c r="AR17" s="108">
        <v>95</v>
      </c>
      <c r="AS17" s="108">
        <v>71</v>
      </c>
      <c r="AT17" s="108">
        <f>SUM(B17:AS17)</f>
        <v>3534</v>
      </c>
      <c r="AU17" s="109">
        <v>24.08</v>
      </c>
      <c r="AV17" s="158"/>
    </row>
    <row r="18" spans="1:48" ht="15" customHeight="1">
      <c r="A18" s="101" t="s">
        <v>274</v>
      </c>
      <c r="B18" s="108">
        <v>44</v>
      </c>
      <c r="C18" s="108">
        <v>46</v>
      </c>
      <c r="D18" s="108">
        <v>59</v>
      </c>
      <c r="E18" s="108">
        <v>67</v>
      </c>
      <c r="F18" s="108">
        <v>89</v>
      </c>
      <c r="G18" s="108">
        <v>98</v>
      </c>
      <c r="H18" s="108">
        <v>54</v>
      </c>
      <c r="I18" s="108">
        <v>32</v>
      </c>
      <c r="J18" s="108">
        <v>62</v>
      </c>
      <c r="K18" s="108">
        <v>70</v>
      </c>
      <c r="L18" s="108">
        <v>66</v>
      </c>
      <c r="M18" s="108">
        <v>71</v>
      </c>
      <c r="N18" s="108">
        <v>61</v>
      </c>
      <c r="O18" s="108">
        <v>117</v>
      </c>
      <c r="P18" s="108">
        <v>93</v>
      </c>
      <c r="Q18" s="108">
        <v>90</v>
      </c>
      <c r="R18" s="108">
        <v>86</v>
      </c>
      <c r="S18" s="108">
        <v>81</v>
      </c>
      <c r="T18" s="108">
        <v>62</v>
      </c>
      <c r="U18" s="108">
        <v>71</v>
      </c>
      <c r="V18" s="108">
        <v>96</v>
      </c>
      <c r="W18" s="108">
        <v>96</v>
      </c>
      <c r="X18" s="108">
        <v>73</v>
      </c>
      <c r="Y18" s="108">
        <v>58</v>
      </c>
      <c r="Z18" s="108">
        <v>81</v>
      </c>
      <c r="AA18" s="108">
        <v>87</v>
      </c>
      <c r="AB18" s="108">
        <v>45</v>
      </c>
      <c r="AC18" s="108">
        <v>52</v>
      </c>
      <c r="AD18" s="108">
        <v>78</v>
      </c>
      <c r="AE18" s="108">
        <v>79</v>
      </c>
      <c r="AF18" s="108">
        <v>51</v>
      </c>
      <c r="AG18" s="108">
        <v>57</v>
      </c>
      <c r="AH18" s="108">
        <v>59</v>
      </c>
      <c r="AI18" s="108">
        <v>100</v>
      </c>
      <c r="AJ18" s="108">
        <v>87</v>
      </c>
      <c r="AK18" s="108">
        <v>78</v>
      </c>
      <c r="AL18" s="108">
        <v>87</v>
      </c>
      <c r="AM18" s="108">
        <v>116</v>
      </c>
      <c r="AN18" s="108">
        <v>41</v>
      </c>
      <c r="AO18" s="108">
        <v>60</v>
      </c>
      <c r="AP18" s="108">
        <v>100</v>
      </c>
      <c r="AQ18" s="108">
        <v>89</v>
      </c>
      <c r="AR18" s="108">
        <v>83</v>
      </c>
      <c r="AS18" s="108">
        <v>62</v>
      </c>
      <c r="AT18" s="108">
        <f>SUM(B18:AS18)</f>
        <v>3234</v>
      </c>
      <c r="AU18" s="109">
        <v>22.03</v>
      </c>
      <c r="AV18" s="158"/>
    </row>
    <row r="19" spans="1:48" ht="15" customHeight="1">
      <c r="A19" s="101" t="s">
        <v>212</v>
      </c>
      <c r="B19" s="108">
        <v>42</v>
      </c>
      <c r="C19" s="108">
        <v>45</v>
      </c>
      <c r="D19" s="108">
        <v>53</v>
      </c>
      <c r="E19" s="108">
        <v>66</v>
      </c>
      <c r="F19" s="108">
        <v>89</v>
      </c>
      <c r="G19" s="108">
        <v>98</v>
      </c>
      <c r="H19" s="108">
        <v>50</v>
      </c>
      <c r="I19" s="108">
        <v>31</v>
      </c>
      <c r="J19" s="108">
        <v>66</v>
      </c>
      <c r="K19" s="108">
        <v>69</v>
      </c>
      <c r="L19" s="108">
        <v>61</v>
      </c>
      <c r="M19" s="108">
        <v>68</v>
      </c>
      <c r="N19" s="108">
        <v>58</v>
      </c>
      <c r="O19" s="108">
        <v>109</v>
      </c>
      <c r="P19" s="108">
        <v>89</v>
      </c>
      <c r="Q19" s="108">
        <v>90</v>
      </c>
      <c r="R19" s="108">
        <v>80</v>
      </c>
      <c r="S19" s="108">
        <v>74</v>
      </c>
      <c r="T19" s="108">
        <v>61</v>
      </c>
      <c r="U19" s="108">
        <v>68</v>
      </c>
      <c r="V19" s="108">
        <v>89</v>
      </c>
      <c r="W19" s="108">
        <v>96</v>
      </c>
      <c r="X19" s="108">
        <v>68</v>
      </c>
      <c r="Y19" s="108">
        <v>57</v>
      </c>
      <c r="Z19" s="108">
        <v>78</v>
      </c>
      <c r="AA19" s="108">
        <v>87</v>
      </c>
      <c r="AB19" s="108">
        <v>45</v>
      </c>
      <c r="AC19" s="108">
        <v>47</v>
      </c>
      <c r="AD19" s="108">
        <v>72</v>
      </c>
      <c r="AE19" s="108">
        <v>78</v>
      </c>
      <c r="AF19" s="108">
        <v>48</v>
      </c>
      <c r="AG19" s="108">
        <v>54</v>
      </c>
      <c r="AH19" s="108">
        <v>55</v>
      </c>
      <c r="AI19" s="108">
        <v>95</v>
      </c>
      <c r="AJ19" s="108">
        <v>84</v>
      </c>
      <c r="AK19" s="108">
        <v>74</v>
      </c>
      <c r="AL19" s="108">
        <v>77</v>
      </c>
      <c r="AM19" s="108">
        <v>112</v>
      </c>
      <c r="AN19" s="108">
        <v>39</v>
      </c>
      <c r="AO19" s="108">
        <v>57</v>
      </c>
      <c r="AP19" s="108">
        <v>96</v>
      </c>
      <c r="AQ19" s="108">
        <v>88</v>
      </c>
      <c r="AR19" s="108">
        <v>81</v>
      </c>
      <c r="AS19" s="108">
        <v>60</v>
      </c>
      <c r="AT19" s="108">
        <f>SUM(B19:AS19)</f>
        <v>3104</v>
      </c>
      <c r="AU19" s="109">
        <v>21.15</v>
      </c>
      <c r="AV19" s="158"/>
    </row>
    <row r="20" spans="1:47" ht="22.5" customHeight="1">
      <c r="A20" s="100" t="s">
        <v>209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</row>
    <row r="21" spans="1:48" ht="15" customHeight="1">
      <c r="A21" s="99" t="s">
        <v>214</v>
      </c>
      <c r="B21" s="108">
        <v>40</v>
      </c>
      <c r="C21" s="108">
        <v>47</v>
      </c>
      <c r="D21" s="108">
        <v>28</v>
      </c>
      <c r="E21" s="108">
        <v>30</v>
      </c>
      <c r="F21" s="108">
        <v>49</v>
      </c>
      <c r="G21" s="108">
        <v>54</v>
      </c>
      <c r="H21" s="108">
        <v>25</v>
      </c>
      <c r="I21" s="108">
        <v>32</v>
      </c>
      <c r="J21" s="108">
        <v>36</v>
      </c>
      <c r="K21" s="108">
        <v>43</v>
      </c>
      <c r="L21" s="108">
        <v>48</v>
      </c>
      <c r="M21" s="108">
        <v>60</v>
      </c>
      <c r="N21" s="108">
        <v>56</v>
      </c>
      <c r="O21" s="108">
        <v>60</v>
      </c>
      <c r="P21" s="108">
        <v>54</v>
      </c>
      <c r="Q21" s="108">
        <v>64</v>
      </c>
      <c r="R21" s="108">
        <v>75</v>
      </c>
      <c r="S21" s="108">
        <v>62</v>
      </c>
      <c r="T21" s="108">
        <v>42</v>
      </c>
      <c r="U21" s="108">
        <v>46</v>
      </c>
      <c r="V21" s="108">
        <v>90</v>
      </c>
      <c r="W21" s="108">
        <v>74</v>
      </c>
      <c r="X21" s="108">
        <v>67</v>
      </c>
      <c r="Y21" s="108">
        <v>51</v>
      </c>
      <c r="Z21" s="108">
        <v>46</v>
      </c>
      <c r="AA21" s="108">
        <v>41</v>
      </c>
      <c r="AB21" s="108">
        <v>26</v>
      </c>
      <c r="AC21" s="108">
        <v>30</v>
      </c>
      <c r="AD21" s="108">
        <v>71</v>
      </c>
      <c r="AE21" s="108">
        <v>50</v>
      </c>
      <c r="AF21" s="108">
        <v>42</v>
      </c>
      <c r="AG21" s="108">
        <v>51</v>
      </c>
      <c r="AH21" s="108">
        <v>51</v>
      </c>
      <c r="AI21" s="108">
        <v>64</v>
      </c>
      <c r="AJ21" s="108">
        <v>61</v>
      </c>
      <c r="AK21" s="108">
        <v>46</v>
      </c>
      <c r="AL21" s="108">
        <v>59</v>
      </c>
      <c r="AM21" s="108">
        <v>57</v>
      </c>
      <c r="AN21" s="108">
        <v>33</v>
      </c>
      <c r="AO21" s="108">
        <v>40</v>
      </c>
      <c r="AP21" s="108">
        <v>67</v>
      </c>
      <c r="AQ21" s="108">
        <v>84</v>
      </c>
      <c r="AR21" s="108">
        <v>57</v>
      </c>
      <c r="AS21" s="108">
        <v>40</v>
      </c>
      <c r="AT21" s="108">
        <f>SUM(B21:AS21)</f>
        <v>2249</v>
      </c>
      <c r="AU21" s="109">
        <v>15.32</v>
      </c>
      <c r="AV21" s="158"/>
    </row>
    <row r="22" spans="1:48" ht="15" customHeight="1">
      <c r="A22" s="99" t="s">
        <v>215</v>
      </c>
      <c r="B22" s="108">
        <v>39</v>
      </c>
      <c r="C22" s="108">
        <v>47</v>
      </c>
      <c r="D22" s="108">
        <v>27</v>
      </c>
      <c r="E22" s="108">
        <v>28</v>
      </c>
      <c r="F22" s="108">
        <v>48</v>
      </c>
      <c r="G22" s="108">
        <v>54</v>
      </c>
      <c r="H22" s="108">
        <v>23</v>
      </c>
      <c r="I22" s="108">
        <v>31</v>
      </c>
      <c r="J22" s="108">
        <v>34</v>
      </c>
      <c r="K22" s="108">
        <v>42</v>
      </c>
      <c r="L22" s="108">
        <v>47</v>
      </c>
      <c r="M22" s="108">
        <v>60</v>
      </c>
      <c r="N22" s="108">
        <v>51</v>
      </c>
      <c r="O22" s="108">
        <v>58</v>
      </c>
      <c r="P22" s="108">
        <v>56</v>
      </c>
      <c r="Q22" s="108">
        <v>62</v>
      </c>
      <c r="R22" s="108">
        <v>72</v>
      </c>
      <c r="S22" s="108">
        <v>60</v>
      </c>
      <c r="T22" s="108">
        <v>42</v>
      </c>
      <c r="U22" s="108">
        <v>45</v>
      </c>
      <c r="V22" s="108">
        <v>38</v>
      </c>
      <c r="W22" s="108">
        <v>74</v>
      </c>
      <c r="X22" s="108">
        <v>67</v>
      </c>
      <c r="Y22" s="108">
        <v>51</v>
      </c>
      <c r="Z22" s="108">
        <v>45</v>
      </c>
      <c r="AA22" s="108">
        <v>38</v>
      </c>
      <c r="AB22" s="108">
        <v>26</v>
      </c>
      <c r="AC22" s="108">
        <v>30</v>
      </c>
      <c r="AD22" s="108">
        <v>71</v>
      </c>
      <c r="AE22" s="108">
        <v>50</v>
      </c>
      <c r="AF22" s="108">
        <v>42</v>
      </c>
      <c r="AG22" s="108">
        <v>50</v>
      </c>
      <c r="AH22" s="108">
        <v>52</v>
      </c>
      <c r="AI22" s="108">
        <v>59</v>
      </c>
      <c r="AJ22" s="108">
        <v>56</v>
      </c>
      <c r="AK22" s="108">
        <v>46</v>
      </c>
      <c r="AL22" s="108">
        <v>61</v>
      </c>
      <c r="AM22" s="108">
        <v>54</v>
      </c>
      <c r="AN22" s="108">
        <v>32</v>
      </c>
      <c r="AO22" s="108">
        <v>49</v>
      </c>
      <c r="AP22" s="108">
        <v>66</v>
      </c>
      <c r="AQ22" s="108">
        <v>83</v>
      </c>
      <c r="AR22" s="108">
        <v>55</v>
      </c>
      <c r="AS22" s="108">
        <v>39</v>
      </c>
      <c r="AT22" s="108">
        <f>SUM(B22:AS22)</f>
        <v>2160</v>
      </c>
      <c r="AU22" s="109">
        <v>14.72</v>
      </c>
      <c r="AV22" s="158"/>
    </row>
    <row r="23" spans="1:48" ht="15" customHeight="1">
      <c r="A23" s="99" t="s">
        <v>216</v>
      </c>
      <c r="B23" s="108">
        <v>39</v>
      </c>
      <c r="C23" s="108">
        <v>42</v>
      </c>
      <c r="D23" s="108">
        <v>27</v>
      </c>
      <c r="E23" s="108">
        <v>27</v>
      </c>
      <c r="F23" s="108">
        <v>45</v>
      </c>
      <c r="G23" s="108">
        <v>53</v>
      </c>
      <c r="H23" s="108">
        <v>23</v>
      </c>
      <c r="I23" s="108">
        <v>30</v>
      </c>
      <c r="J23" s="108">
        <v>35</v>
      </c>
      <c r="K23" s="108">
        <v>41</v>
      </c>
      <c r="L23" s="108">
        <v>36</v>
      </c>
      <c r="M23" s="108">
        <v>60</v>
      </c>
      <c r="N23" s="108">
        <v>52</v>
      </c>
      <c r="O23" s="108">
        <v>58</v>
      </c>
      <c r="P23" s="108">
        <v>53</v>
      </c>
      <c r="Q23" s="108">
        <v>62</v>
      </c>
      <c r="R23" s="108">
        <v>71</v>
      </c>
      <c r="S23" s="108">
        <v>60</v>
      </c>
      <c r="T23" s="108">
        <v>42</v>
      </c>
      <c r="U23" s="108">
        <v>46</v>
      </c>
      <c r="V23" s="108">
        <v>38</v>
      </c>
      <c r="W23" s="108">
        <v>73</v>
      </c>
      <c r="X23" s="108">
        <v>64</v>
      </c>
      <c r="Y23" s="108">
        <v>52</v>
      </c>
      <c r="Z23" s="108">
        <v>43</v>
      </c>
      <c r="AA23" s="108">
        <v>35</v>
      </c>
      <c r="AB23" s="108">
        <v>26</v>
      </c>
      <c r="AC23" s="108">
        <v>29</v>
      </c>
      <c r="AD23" s="108">
        <v>71</v>
      </c>
      <c r="AE23" s="108">
        <v>52</v>
      </c>
      <c r="AF23" s="108">
        <v>43</v>
      </c>
      <c r="AG23" s="108">
        <v>49</v>
      </c>
      <c r="AH23" s="108">
        <v>50</v>
      </c>
      <c r="AI23" s="108">
        <v>60</v>
      </c>
      <c r="AJ23" s="108">
        <v>54</v>
      </c>
      <c r="AK23" s="108">
        <v>45</v>
      </c>
      <c r="AL23" s="108">
        <v>60</v>
      </c>
      <c r="AM23" s="108">
        <v>54</v>
      </c>
      <c r="AN23" s="108">
        <v>34</v>
      </c>
      <c r="AO23" s="108">
        <v>48</v>
      </c>
      <c r="AP23" s="108">
        <v>67</v>
      </c>
      <c r="AQ23" s="108">
        <v>83</v>
      </c>
      <c r="AR23" s="108">
        <v>54</v>
      </c>
      <c r="AS23" s="108">
        <v>39</v>
      </c>
      <c r="AT23" s="108">
        <f>SUM(B23:AS23)</f>
        <v>2125</v>
      </c>
      <c r="AU23" s="109">
        <v>14.48</v>
      </c>
      <c r="AV23" s="158"/>
    </row>
    <row r="24" spans="1:47" ht="15" customHeight="1">
      <c r="A24" s="100" t="s">
        <v>213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</row>
    <row r="25" spans="1:48" ht="15" customHeight="1">
      <c r="A25" s="101" t="s">
        <v>218</v>
      </c>
      <c r="B25" s="108">
        <v>74</v>
      </c>
      <c r="C25" s="108">
        <v>69</v>
      </c>
      <c r="D25" s="108">
        <v>73</v>
      </c>
      <c r="E25" s="108">
        <v>79</v>
      </c>
      <c r="F25" s="108">
        <v>58</v>
      </c>
      <c r="G25" s="108">
        <v>54</v>
      </c>
      <c r="H25" s="108">
        <v>46</v>
      </c>
      <c r="I25" s="108">
        <v>52</v>
      </c>
      <c r="J25" s="108">
        <v>42</v>
      </c>
      <c r="K25" s="108">
        <v>92</v>
      </c>
      <c r="L25" s="108">
        <v>59</v>
      </c>
      <c r="M25" s="108">
        <v>46</v>
      </c>
      <c r="N25" s="108">
        <v>52</v>
      </c>
      <c r="O25" s="108">
        <v>48</v>
      </c>
      <c r="P25" s="108">
        <v>54</v>
      </c>
      <c r="Q25" s="108">
        <v>40</v>
      </c>
      <c r="R25" s="108">
        <v>40</v>
      </c>
      <c r="S25" s="108">
        <v>49</v>
      </c>
      <c r="T25" s="108">
        <v>72</v>
      </c>
      <c r="U25" s="108">
        <v>83</v>
      </c>
      <c r="V25" s="108">
        <v>26</v>
      </c>
      <c r="W25" s="108">
        <v>71</v>
      </c>
      <c r="X25" s="108">
        <v>67</v>
      </c>
      <c r="Y25" s="108">
        <v>69</v>
      </c>
      <c r="Z25" s="108">
        <v>56</v>
      </c>
      <c r="AA25" s="108">
        <v>49</v>
      </c>
      <c r="AB25" s="108">
        <v>62</v>
      </c>
      <c r="AC25" s="108">
        <v>62</v>
      </c>
      <c r="AD25" s="108">
        <v>85</v>
      </c>
      <c r="AE25" s="108">
        <v>101</v>
      </c>
      <c r="AF25" s="108">
        <v>32</v>
      </c>
      <c r="AG25" s="108">
        <v>40</v>
      </c>
      <c r="AH25" s="108">
        <v>34</v>
      </c>
      <c r="AI25" s="108">
        <v>26</v>
      </c>
      <c r="AJ25" s="108">
        <v>55</v>
      </c>
      <c r="AK25" s="108">
        <v>70</v>
      </c>
      <c r="AL25" s="108">
        <v>58</v>
      </c>
      <c r="AM25" s="108">
        <v>60</v>
      </c>
      <c r="AN25" s="108">
        <v>45</v>
      </c>
      <c r="AO25" s="108">
        <v>38</v>
      </c>
      <c r="AP25" s="108">
        <v>49</v>
      </c>
      <c r="AQ25" s="108">
        <v>40</v>
      </c>
      <c r="AR25" s="108">
        <v>17</v>
      </c>
      <c r="AS25" s="108">
        <v>20</v>
      </c>
      <c r="AT25" s="108">
        <f>SUM(B25:AS25)</f>
        <v>2414</v>
      </c>
      <c r="AU25" s="109">
        <v>16.45</v>
      </c>
      <c r="AV25" s="158"/>
    </row>
    <row r="26" spans="1:48" ht="15" customHeight="1">
      <c r="A26" s="101" t="s">
        <v>219</v>
      </c>
      <c r="B26" s="108">
        <v>69</v>
      </c>
      <c r="C26" s="108">
        <v>59</v>
      </c>
      <c r="D26" s="108">
        <v>67</v>
      </c>
      <c r="E26" s="108">
        <v>72</v>
      </c>
      <c r="F26" s="108">
        <v>52</v>
      </c>
      <c r="G26" s="108">
        <v>45</v>
      </c>
      <c r="H26" s="108">
        <v>45</v>
      </c>
      <c r="I26" s="108">
        <v>47</v>
      </c>
      <c r="J26" s="108">
        <v>37</v>
      </c>
      <c r="K26" s="108">
        <v>86</v>
      </c>
      <c r="L26" s="108">
        <v>53</v>
      </c>
      <c r="M26" s="108">
        <v>44</v>
      </c>
      <c r="N26" s="108">
        <v>44</v>
      </c>
      <c r="O26" s="108">
        <v>38</v>
      </c>
      <c r="P26" s="108">
        <v>45</v>
      </c>
      <c r="Q26" s="108">
        <v>36</v>
      </c>
      <c r="R26" s="108">
        <v>40</v>
      </c>
      <c r="S26" s="108">
        <v>48</v>
      </c>
      <c r="T26" s="108">
        <v>69</v>
      </c>
      <c r="U26" s="108">
        <v>76</v>
      </c>
      <c r="V26" s="108">
        <v>29</v>
      </c>
      <c r="W26" s="108">
        <v>60</v>
      </c>
      <c r="X26" s="108">
        <v>61</v>
      </c>
      <c r="Y26" s="108">
        <v>61</v>
      </c>
      <c r="Z26" s="108">
        <v>48</v>
      </c>
      <c r="AA26" s="108">
        <v>45</v>
      </c>
      <c r="AB26" s="108">
        <v>59</v>
      </c>
      <c r="AC26" s="108">
        <v>56</v>
      </c>
      <c r="AD26" s="108">
        <v>77</v>
      </c>
      <c r="AE26" s="108">
        <v>95</v>
      </c>
      <c r="AF26" s="108">
        <v>29</v>
      </c>
      <c r="AG26" s="108">
        <v>36</v>
      </c>
      <c r="AH26" s="108">
        <v>32</v>
      </c>
      <c r="AI26" s="108">
        <v>25</v>
      </c>
      <c r="AJ26" s="108">
        <v>53</v>
      </c>
      <c r="AK26" s="108">
        <v>63</v>
      </c>
      <c r="AL26" s="108">
        <v>55</v>
      </c>
      <c r="AM26" s="108">
        <v>57</v>
      </c>
      <c r="AN26" s="108">
        <v>41</v>
      </c>
      <c r="AO26" s="108">
        <v>35</v>
      </c>
      <c r="AP26" s="108">
        <v>40</v>
      </c>
      <c r="AQ26" s="108">
        <v>33</v>
      </c>
      <c r="AR26" s="108">
        <v>17</v>
      </c>
      <c r="AS26" s="108">
        <v>20</v>
      </c>
      <c r="AT26" s="108">
        <f>SUM(B26:AS26)</f>
        <v>2199</v>
      </c>
      <c r="AU26" s="109">
        <v>14.98</v>
      </c>
      <c r="AV26" s="158"/>
    </row>
    <row r="27" spans="1:48" ht="15" customHeight="1">
      <c r="A27" s="101" t="s">
        <v>220</v>
      </c>
      <c r="B27" s="108">
        <v>67</v>
      </c>
      <c r="C27" s="108">
        <v>60</v>
      </c>
      <c r="D27" s="108">
        <v>58</v>
      </c>
      <c r="E27" s="108">
        <v>71</v>
      </c>
      <c r="F27" s="108">
        <v>52</v>
      </c>
      <c r="G27" s="108">
        <v>41</v>
      </c>
      <c r="H27" s="108">
        <v>43</v>
      </c>
      <c r="I27" s="108">
        <v>47</v>
      </c>
      <c r="J27" s="108">
        <v>37</v>
      </c>
      <c r="K27" s="108">
        <v>83</v>
      </c>
      <c r="L27" s="108">
        <v>50</v>
      </c>
      <c r="M27" s="108">
        <v>40</v>
      </c>
      <c r="N27" s="108">
        <v>43</v>
      </c>
      <c r="O27" s="108">
        <v>39</v>
      </c>
      <c r="P27" s="108">
        <v>40</v>
      </c>
      <c r="Q27" s="108">
        <v>35</v>
      </c>
      <c r="R27" s="108">
        <v>37</v>
      </c>
      <c r="S27" s="108">
        <v>49</v>
      </c>
      <c r="T27" s="108">
        <v>64</v>
      </c>
      <c r="U27" s="108">
        <v>78</v>
      </c>
      <c r="V27" s="108">
        <v>23</v>
      </c>
      <c r="W27" s="108">
        <v>64</v>
      </c>
      <c r="X27" s="108">
        <v>56</v>
      </c>
      <c r="Y27" s="108">
        <v>54</v>
      </c>
      <c r="Z27" s="108">
        <v>48</v>
      </c>
      <c r="AA27" s="108">
        <v>44</v>
      </c>
      <c r="AB27" s="108">
        <v>53</v>
      </c>
      <c r="AC27" s="108">
        <v>52</v>
      </c>
      <c r="AD27" s="108">
        <v>75</v>
      </c>
      <c r="AE27" s="108">
        <v>97</v>
      </c>
      <c r="AF27" s="108">
        <v>26</v>
      </c>
      <c r="AG27" s="108">
        <v>35</v>
      </c>
      <c r="AH27" s="108">
        <v>28</v>
      </c>
      <c r="AI27" s="108">
        <v>26</v>
      </c>
      <c r="AJ27" s="108">
        <v>51</v>
      </c>
      <c r="AK27" s="108">
        <v>57</v>
      </c>
      <c r="AL27" s="108">
        <v>52</v>
      </c>
      <c r="AM27" s="108">
        <v>50</v>
      </c>
      <c r="AN27" s="108">
        <v>40</v>
      </c>
      <c r="AO27" s="108">
        <v>37</v>
      </c>
      <c r="AP27" s="108">
        <v>42</v>
      </c>
      <c r="AQ27" s="108">
        <v>31</v>
      </c>
      <c r="AR27" s="108">
        <v>15</v>
      </c>
      <c r="AS27" s="108">
        <v>17</v>
      </c>
      <c r="AT27" s="108">
        <f>SUM(B27:AS27)</f>
        <v>2107</v>
      </c>
      <c r="AU27" s="109">
        <v>14.36</v>
      </c>
      <c r="AV27" s="158"/>
    </row>
    <row r="28" spans="1:47" ht="32.25" customHeight="1">
      <c r="A28" s="100" t="s">
        <v>217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</row>
    <row r="29" spans="1:48" ht="15" customHeight="1">
      <c r="A29" s="101" t="s">
        <v>228</v>
      </c>
      <c r="B29" s="108">
        <v>3</v>
      </c>
      <c r="C29" s="108">
        <v>7</v>
      </c>
      <c r="D29" s="108">
        <v>10</v>
      </c>
      <c r="E29" s="108">
        <v>6</v>
      </c>
      <c r="F29" s="108">
        <v>15</v>
      </c>
      <c r="G29" s="108">
        <v>20</v>
      </c>
      <c r="H29" s="108">
        <v>5</v>
      </c>
      <c r="I29" s="108">
        <v>5</v>
      </c>
      <c r="J29" s="108">
        <v>8</v>
      </c>
      <c r="K29" s="108">
        <v>16</v>
      </c>
      <c r="L29" s="108">
        <v>12</v>
      </c>
      <c r="M29" s="108">
        <v>11</v>
      </c>
      <c r="N29" s="108">
        <v>8</v>
      </c>
      <c r="O29" s="108">
        <v>23</v>
      </c>
      <c r="P29" s="108">
        <v>9</v>
      </c>
      <c r="Q29" s="108">
        <v>16</v>
      </c>
      <c r="R29" s="108">
        <v>9</v>
      </c>
      <c r="S29" s="108">
        <v>16</v>
      </c>
      <c r="T29" s="108">
        <v>15</v>
      </c>
      <c r="U29" s="108">
        <v>16</v>
      </c>
      <c r="V29" s="108">
        <v>15</v>
      </c>
      <c r="W29" s="108">
        <v>16</v>
      </c>
      <c r="X29" s="108">
        <v>10</v>
      </c>
      <c r="Y29" s="108">
        <v>9</v>
      </c>
      <c r="Z29" s="108">
        <v>10</v>
      </c>
      <c r="AA29" s="108">
        <v>18</v>
      </c>
      <c r="AB29" s="108">
        <v>14</v>
      </c>
      <c r="AC29" s="108">
        <v>7</v>
      </c>
      <c r="AD29" s="108">
        <v>16</v>
      </c>
      <c r="AE29" s="108">
        <v>11</v>
      </c>
      <c r="AF29" s="108">
        <v>15</v>
      </c>
      <c r="AG29" s="108">
        <v>10</v>
      </c>
      <c r="AH29" s="108">
        <v>9</v>
      </c>
      <c r="AI29" s="108">
        <v>24</v>
      </c>
      <c r="AJ29" s="108">
        <v>7</v>
      </c>
      <c r="AK29" s="108">
        <v>15</v>
      </c>
      <c r="AL29" s="108">
        <v>15</v>
      </c>
      <c r="AM29" s="108">
        <v>20</v>
      </c>
      <c r="AN29" s="108">
        <v>9</v>
      </c>
      <c r="AO29" s="108">
        <v>9</v>
      </c>
      <c r="AP29" s="108">
        <v>11</v>
      </c>
      <c r="AQ29" s="108">
        <v>18</v>
      </c>
      <c r="AR29" s="108">
        <v>5</v>
      </c>
      <c r="AS29" s="108">
        <v>8</v>
      </c>
      <c r="AT29" s="108">
        <f>SUM(B29:AS29)</f>
        <v>531</v>
      </c>
      <c r="AU29" s="109">
        <v>3.62</v>
      </c>
      <c r="AV29" s="158"/>
    </row>
    <row r="30" spans="1:48" ht="15" customHeight="1">
      <c r="A30" s="101" t="s">
        <v>271</v>
      </c>
      <c r="B30" s="108">
        <v>2</v>
      </c>
      <c r="C30" s="108">
        <v>6</v>
      </c>
      <c r="D30" s="108">
        <v>7</v>
      </c>
      <c r="E30" s="108">
        <v>2</v>
      </c>
      <c r="F30" s="108">
        <v>5</v>
      </c>
      <c r="G30" s="108">
        <v>12</v>
      </c>
      <c r="H30" s="108">
        <v>4</v>
      </c>
      <c r="I30" s="108">
        <v>5</v>
      </c>
      <c r="J30" s="108">
        <v>4</v>
      </c>
      <c r="K30" s="108">
        <v>11</v>
      </c>
      <c r="L30" s="108">
        <v>6</v>
      </c>
      <c r="M30" s="108">
        <v>8</v>
      </c>
      <c r="N30" s="108">
        <v>9</v>
      </c>
      <c r="O30" s="108">
        <v>13</v>
      </c>
      <c r="P30" s="108">
        <v>7</v>
      </c>
      <c r="Q30" s="108">
        <v>11</v>
      </c>
      <c r="R30" s="108">
        <v>6</v>
      </c>
      <c r="S30" s="108">
        <v>11</v>
      </c>
      <c r="T30" s="108">
        <v>13</v>
      </c>
      <c r="U30" s="108">
        <v>12</v>
      </c>
      <c r="V30" s="108">
        <v>12</v>
      </c>
      <c r="W30" s="108">
        <v>11</v>
      </c>
      <c r="X30" s="108">
        <v>7</v>
      </c>
      <c r="Y30" s="108">
        <v>3</v>
      </c>
      <c r="Z30" s="108">
        <v>6</v>
      </c>
      <c r="AA30" s="108">
        <v>14</v>
      </c>
      <c r="AB30" s="108">
        <v>8</v>
      </c>
      <c r="AC30" s="108">
        <v>5</v>
      </c>
      <c r="AD30" s="108">
        <v>12</v>
      </c>
      <c r="AE30" s="108">
        <v>6</v>
      </c>
      <c r="AF30" s="108">
        <v>13</v>
      </c>
      <c r="AG30" s="108">
        <v>8</v>
      </c>
      <c r="AH30" s="108">
        <v>5</v>
      </c>
      <c r="AI30" s="108">
        <v>16</v>
      </c>
      <c r="AJ30" s="108">
        <v>3</v>
      </c>
      <c r="AK30" s="108">
        <v>11</v>
      </c>
      <c r="AL30" s="108">
        <v>13</v>
      </c>
      <c r="AM30" s="108">
        <v>15</v>
      </c>
      <c r="AN30" s="108">
        <v>5</v>
      </c>
      <c r="AO30" s="108">
        <v>7</v>
      </c>
      <c r="AP30" s="108">
        <v>4</v>
      </c>
      <c r="AQ30" s="108">
        <v>12</v>
      </c>
      <c r="AR30" s="108">
        <v>3</v>
      </c>
      <c r="AS30" s="108">
        <v>3</v>
      </c>
      <c r="AT30" s="108">
        <f>SUM(B30:AS30)</f>
        <v>356</v>
      </c>
      <c r="AU30" s="109">
        <v>2.43</v>
      </c>
      <c r="AV30" s="158"/>
    </row>
    <row r="31" spans="1:48" ht="15" customHeight="1">
      <c r="A31" s="101" t="s">
        <v>272</v>
      </c>
      <c r="B31" s="108">
        <v>2</v>
      </c>
      <c r="C31" s="108">
        <v>5</v>
      </c>
      <c r="D31" s="108">
        <v>0</v>
      </c>
      <c r="E31" s="108">
        <v>3</v>
      </c>
      <c r="F31" s="108">
        <v>5</v>
      </c>
      <c r="G31" s="108">
        <v>9</v>
      </c>
      <c r="H31" s="108">
        <v>4</v>
      </c>
      <c r="I31" s="108">
        <v>5</v>
      </c>
      <c r="J31" s="108">
        <v>5</v>
      </c>
      <c r="K31" s="108">
        <v>10</v>
      </c>
      <c r="L31" s="108">
        <v>5</v>
      </c>
      <c r="M31" s="108">
        <v>7</v>
      </c>
      <c r="N31" s="108">
        <v>7</v>
      </c>
      <c r="O31" s="108">
        <v>14</v>
      </c>
      <c r="P31" s="108">
        <v>7</v>
      </c>
      <c r="Q31" s="108">
        <v>12</v>
      </c>
      <c r="R31" s="108">
        <v>6</v>
      </c>
      <c r="S31" s="108">
        <v>9</v>
      </c>
      <c r="T31" s="108">
        <v>12</v>
      </c>
      <c r="U31" s="108">
        <v>10</v>
      </c>
      <c r="V31" s="108">
        <v>2</v>
      </c>
      <c r="W31" s="108">
        <v>10</v>
      </c>
      <c r="X31" s="108">
        <v>6</v>
      </c>
      <c r="Y31" s="108">
        <v>4</v>
      </c>
      <c r="Z31" s="108">
        <v>6</v>
      </c>
      <c r="AA31" s="108">
        <v>13</v>
      </c>
      <c r="AB31" s="108">
        <v>8</v>
      </c>
      <c r="AC31" s="108">
        <v>5</v>
      </c>
      <c r="AD31" s="108">
        <v>14</v>
      </c>
      <c r="AE31" s="108">
        <v>8</v>
      </c>
      <c r="AF31" s="108">
        <v>11</v>
      </c>
      <c r="AG31" s="108">
        <v>6</v>
      </c>
      <c r="AH31" s="108">
        <v>6</v>
      </c>
      <c r="AI31" s="108">
        <v>15</v>
      </c>
      <c r="AJ31" s="108">
        <v>3</v>
      </c>
      <c r="AK31" s="108">
        <v>9</v>
      </c>
      <c r="AL31" s="108">
        <v>12</v>
      </c>
      <c r="AM31" s="108">
        <v>15</v>
      </c>
      <c r="AN31" s="108">
        <v>5</v>
      </c>
      <c r="AO31" s="108">
        <v>7</v>
      </c>
      <c r="AP31" s="108">
        <v>5</v>
      </c>
      <c r="AQ31" s="108">
        <v>13</v>
      </c>
      <c r="AR31" s="108">
        <v>3</v>
      </c>
      <c r="AS31" s="108">
        <v>3</v>
      </c>
      <c r="AT31" s="108">
        <f>SUM(B31:AS31)</f>
        <v>326</v>
      </c>
      <c r="AU31" s="109">
        <v>2.22</v>
      </c>
      <c r="AV31" s="158"/>
    </row>
    <row r="32" spans="1:47" ht="23.25" customHeight="1">
      <c r="A32" s="100" t="s">
        <v>280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</row>
    <row r="33" spans="1:48" ht="15" customHeight="1">
      <c r="A33" s="99" t="s">
        <v>234</v>
      </c>
      <c r="B33" s="108">
        <v>1</v>
      </c>
      <c r="C33" s="108">
        <v>1</v>
      </c>
      <c r="D33" s="108">
        <v>3</v>
      </c>
      <c r="E33" s="108">
        <v>2</v>
      </c>
      <c r="F33" s="108">
        <v>1</v>
      </c>
      <c r="G33" s="108">
        <v>0</v>
      </c>
      <c r="H33" s="108">
        <v>2</v>
      </c>
      <c r="I33" s="108">
        <v>1</v>
      </c>
      <c r="J33" s="108">
        <v>0</v>
      </c>
      <c r="K33" s="108">
        <v>1</v>
      </c>
      <c r="L33" s="108">
        <v>5</v>
      </c>
      <c r="M33" s="108">
        <v>0</v>
      </c>
      <c r="N33" s="108">
        <v>2</v>
      </c>
      <c r="O33" s="108">
        <v>2</v>
      </c>
      <c r="P33" s="108">
        <v>0</v>
      </c>
      <c r="Q33" s="108">
        <v>1</v>
      </c>
      <c r="R33" s="108">
        <v>1</v>
      </c>
      <c r="S33" s="108">
        <v>2</v>
      </c>
      <c r="T33" s="108">
        <v>5</v>
      </c>
      <c r="U33" s="108">
        <v>2</v>
      </c>
      <c r="V33" s="108">
        <v>0</v>
      </c>
      <c r="W33" s="108">
        <v>2</v>
      </c>
      <c r="X33" s="108">
        <v>2</v>
      </c>
      <c r="Y33" s="108">
        <v>2</v>
      </c>
      <c r="Z33" s="108">
        <v>0</v>
      </c>
      <c r="AA33" s="108">
        <v>0</v>
      </c>
      <c r="AB33" s="108">
        <v>0</v>
      </c>
      <c r="AC33" s="108">
        <v>0</v>
      </c>
      <c r="AD33" s="108">
        <v>6</v>
      </c>
      <c r="AE33" s="108">
        <v>2</v>
      </c>
      <c r="AF33" s="108">
        <v>1</v>
      </c>
      <c r="AG33" s="108">
        <v>0</v>
      </c>
      <c r="AH33" s="108">
        <v>1</v>
      </c>
      <c r="AI33" s="108">
        <v>1</v>
      </c>
      <c r="AJ33" s="108">
        <v>0</v>
      </c>
      <c r="AK33" s="108">
        <v>2</v>
      </c>
      <c r="AL33" s="108">
        <v>1</v>
      </c>
      <c r="AM33" s="108">
        <v>1</v>
      </c>
      <c r="AN33" s="108">
        <v>1</v>
      </c>
      <c r="AO33" s="108">
        <v>1</v>
      </c>
      <c r="AP33" s="108">
        <v>2</v>
      </c>
      <c r="AQ33" s="108">
        <v>2</v>
      </c>
      <c r="AR33" s="108">
        <v>0</v>
      </c>
      <c r="AS33" s="108">
        <v>2</v>
      </c>
      <c r="AT33" s="108">
        <f>SUM(B33:AS33)</f>
        <v>61</v>
      </c>
      <c r="AU33" s="109">
        <v>0.42</v>
      </c>
      <c r="AV33" s="158"/>
    </row>
    <row r="34" spans="1:47" ht="24.75" customHeight="1">
      <c r="A34" s="100" t="s">
        <v>233</v>
      </c>
      <c r="B34" s="110"/>
      <c r="C34" s="110"/>
      <c r="D34" s="110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110"/>
      <c r="W34" s="110"/>
      <c r="X34" s="110"/>
      <c r="Y34" s="110"/>
      <c r="Z34" s="110"/>
      <c r="AA34" s="110"/>
      <c r="AB34" s="110"/>
      <c r="AC34" s="110"/>
      <c r="AD34" s="110"/>
      <c r="AE34" s="110"/>
      <c r="AF34" s="110"/>
      <c r="AG34" s="110"/>
      <c r="AH34" s="110"/>
      <c r="AI34" s="110"/>
      <c r="AJ34" s="110"/>
      <c r="AK34" s="110"/>
      <c r="AL34" s="110"/>
      <c r="AM34" s="110"/>
      <c r="AN34" s="110"/>
      <c r="AO34" s="110"/>
      <c r="AP34" s="110"/>
      <c r="AQ34" s="110"/>
      <c r="AR34" s="110"/>
      <c r="AS34" s="110"/>
      <c r="AT34" s="110"/>
      <c r="AU34" s="111"/>
    </row>
    <row r="35" spans="1:48" ht="16.5" customHeight="1">
      <c r="A35" s="99" t="s">
        <v>238</v>
      </c>
      <c r="B35" s="108">
        <v>0</v>
      </c>
      <c r="C35" s="108">
        <v>2</v>
      </c>
      <c r="D35" s="108">
        <v>1</v>
      </c>
      <c r="E35" s="108">
        <v>2</v>
      </c>
      <c r="F35" s="108">
        <v>2</v>
      </c>
      <c r="G35" s="108">
        <v>4</v>
      </c>
      <c r="H35" s="108">
        <v>0</v>
      </c>
      <c r="I35" s="108">
        <v>0</v>
      </c>
      <c r="J35" s="108">
        <v>1</v>
      </c>
      <c r="K35" s="108">
        <v>0</v>
      </c>
      <c r="L35" s="108">
        <v>1</v>
      </c>
      <c r="M35" s="108">
        <v>0</v>
      </c>
      <c r="N35" s="108">
        <v>8</v>
      </c>
      <c r="O35" s="108">
        <v>3</v>
      </c>
      <c r="P35" s="108">
        <v>4</v>
      </c>
      <c r="Q35" s="108">
        <v>3</v>
      </c>
      <c r="R35" s="108">
        <v>0</v>
      </c>
      <c r="S35" s="108">
        <v>2</v>
      </c>
      <c r="T35" s="108">
        <v>1</v>
      </c>
      <c r="U35" s="108">
        <v>1</v>
      </c>
      <c r="V35" s="108">
        <v>1</v>
      </c>
      <c r="W35" s="108">
        <v>0</v>
      </c>
      <c r="X35" s="108">
        <v>1</v>
      </c>
      <c r="Y35" s="108">
        <v>3</v>
      </c>
      <c r="Z35" s="108">
        <v>1</v>
      </c>
      <c r="AA35" s="108">
        <v>1</v>
      </c>
      <c r="AB35" s="108">
        <v>1</v>
      </c>
      <c r="AC35" s="108">
        <v>1</v>
      </c>
      <c r="AD35" s="108">
        <v>3</v>
      </c>
      <c r="AE35" s="108">
        <v>3</v>
      </c>
      <c r="AF35" s="108">
        <v>1</v>
      </c>
      <c r="AG35" s="108">
        <v>2</v>
      </c>
      <c r="AH35" s="108">
        <v>1</v>
      </c>
      <c r="AI35" s="108">
        <v>3</v>
      </c>
      <c r="AJ35" s="108">
        <v>1</v>
      </c>
      <c r="AK35" s="108">
        <v>4</v>
      </c>
      <c r="AL35" s="108">
        <v>3</v>
      </c>
      <c r="AM35" s="108">
        <v>2</v>
      </c>
      <c r="AN35" s="108">
        <v>2</v>
      </c>
      <c r="AO35" s="108">
        <v>1</v>
      </c>
      <c r="AP35" s="108">
        <v>5</v>
      </c>
      <c r="AQ35" s="108">
        <v>1</v>
      </c>
      <c r="AR35" s="108">
        <v>1</v>
      </c>
      <c r="AS35" s="108">
        <v>3</v>
      </c>
      <c r="AT35" s="108">
        <f>SUM(B35:AS35)</f>
        <v>80</v>
      </c>
      <c r="AU35" s="109">
        <v>0.55</v>
      </c>
      <c r="AV35" s="158"/>
    </row>
    <row r="36" spans="1:47" ht="27.75" customHeight="1">
      <c r="A36" s="100" t="s">
        <v>237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</row>
    <row r="37" spans="1:48" ht="15" customHeight="1">
      <c r="A37" s="99" t="s">
        <v>240</v>
      </c>
      <c r="B37" s="108">
        <v>16</v>
      </c>
      <c r="C37" s="108">
        <v>16</v>
      </c>
      <c r="D37" s="108">
        <v>12</v>
      </c>
      <c r="E37" s="108">
        <v>20</v>
      </c>
      <c r="F37" s="108">
        <v>52</v>
      </c>
      <c r="G37" s="108">
        <v>36</v>
      </c>
      <c r="H37" s="108">
        <v>5</v>
      </c>
      <c r="I37" s="108">
        <v>12</v>
      </c>
      <c r="J37" s="108">
        <v>40</v>
      </c>
      <c r="K37" s="108">
        <v>20</v>
      </c>
      <c r="L37" s="108">
        <v>23</v>
      </c>
      <c r="M37" s="108">
        <v>35</v>
      </c>
      <c r="N37" s="108">
        <v>32</v>
      </c>
      <c r="O37" s="108">
        <v>48</v>
      </c>
      <c r="P37" s="108">
        <v>48</v>
      </c>
      <c r="Q37" s="108">
        <v>43</v>
      </c>
      <c r="R37" s="108">
        <v>56</v>
      </c>
      <c r="S37" s="108">
        <v>51</v>
      </c>
      <c r="T37" s="108">
        <v>22</v>
      </c>
      <c r="U37" s="108">
        <v>10</v>
      </c>
      <c r="V37" s="108">
        <v>8</v>
      </c>
      <c r="W37" s="108">
        <v>47</v>
      </c>
      <c r="X37" s="108">
        <v>46</v>
      </c>
      <c r="Y37" s="108">
        <v>40</v>
      </c>
      <c r="Z37" s="108">
        <v>34</v>
      </c>
      <c r="AA37" s="108">
        <v>33</v>
      </c>
      <c r="AB37" s="108">
        <v>34</v>
      </c>
      <c r="AC37" s="108">
        <v>28</v>
      </c>
      <c r="AD37" s="108">
        <v>28</v>
      </c>
      <c r="AE37" s="108">
        <v>27</v>
      </c>
      <c r="AF37" s="108">
        <v>29</v>
      </c>
      <c r="AG37" s="108">
        <v>43</v>
      </c>
      <c r="AH37" s="108">
        <v>44</v>
      </c>
      <c r="AI37" s="108">
        <v>44</v>
      </c>
      <c r="AJ37" s="108">
        <v>42</v>
      </c>
      <c r="AK37" s="108">
        <v>50</v>
      </c>
      <c r="AL37" s="108">
        <v>60</v>
      </c>
      <c r="AM37" s="108">
        <v>53</v>
      </c>
      <c r="AN37" s="108">
        <v>35</v>
      </c>
      <c r="AO37" s="108">
        <v>48</v>
      </c>
      <c r="AP37" s="108">
        <v>98</v>
      </c>
      <c r="AQ37" s="108">
        <v>83</v>
      </c>
      <c r="AR37" s="108">
        <v>37</v>
      </c>
      <c r="AS37" s="108">
        <v>30</v>
      </c>
      <c r="AT37" s="108">
        <f>SUM(B37:AS37)</f>
        <v>1618</v>
      </c>
      <c r="AU37" s="109">
        <v>11.02</v>
      </c>
      <c r="AV37" s="158"/>
    </row>
    <row r="38" spans="1:48" ht="15" customHeight="1">
      <c r="A38" s="99" t="s">
        <v>241</v>
      </c>
      <c r="B38" s="108">
        <v>17</v>
      </c>
      <c r="C38" s="108">
        <v>15</v>
      </c>
      <c r="D38" s="108">
        <v>13</v>
      </c>
      <c r="E38" s="108">
        <v>17</v>
      </c>
      <c r="F38" s="108">
        <v>50</v>
      </c>
      <c r="G38" s="108">
        <v>32</v>
      </c>
      <c r="H38" s="108">
        <v>5</v>
      </c>
      <c r="I38" s="108">
        <v>11</v>
      </c>
      <c r="J38" s="108">
        <v>40</v>
      </c>
      <c r="K38" s="108">
        <v>16</v>
      </c>
      <c r="L38" s="108">
        <v>21</v>
      </c>
      <c r="M38" s="108">
        <v>31</v>
      </c>
      <c r="N38" s="108">
        <v>28</v>
      </c>
      <c r="O38" s="108">
        <v>45</v>
      </c>
      <c r="P38" s="108">
        <v>40</v>
      </c>
      <c r="Q38" s="108">
        <v>40</v>
      </c>
      <c r="R38" s="108">
        <v>50</v>
      </c>
      <c r="S38" s="108">
        <v>41</v>
      </c>
      <c r="T38" s="108">
        <v>21</v>
      </c>
      <c r="U38" s="108">
        <v>8</v>
      </c>
      <c r="V38" s="108">
        <v>20</v>
      </c>
      <c r="W38" s="108">
        <v>40</v>
      </c>
      <c r="X38" s="108">
        <v>51</v>
      </c>
      <c r="Y38" s="108">
        <v>35</v>
      </c>
      <c r="Z38" s="108">
        <v>29</v>
      </c>
      <c r="AA38" s="108">
        <v>33</v>
      </c>
      <c r="AB38" s="108">
        <v>28</v>
      </c>
      <c r="AC38" s="108">
        <v>25</v>
      </c>
      <c r="AD38" s="108">
        <v>31</v>
      </c>
      <c r="AE38" s="108">
        <v>24</v>
      </c>
      <c r="AF38" s="108">
        <v>25</v>
      </c>
      <c r="AG38" s="108">
        <v>37</v>
      </c>
      <c r="AH38" s="108">
        <v>40</v>
      </c>
      <c r="AI38" s="108">
        <v>40</v>
      </c>
      <c r="AJ38" s="108">
        <v>39</v>
      </c>
      <c r="AK38" s="108">
        <v>45</v>
      </c>
      <c r="AL38" s="108">
        <v>50</v>
      </c>
      <c r="AM38" s="108">
        <v>46</v>
      </c>
      <c r="AN38" s="108">
        <v>36</v>
      </c>
      <c r="AO38" s="108">
        <v>43</v>
      </c>
      <c r="AP38" s="108">
        <v>41</v>
      </c>
      <c r="AQ38" s="108">
        <v>50</v>
      </c>
      <c r="AR38" s="108">
        <v>30</v>
      </c>
      <c r="AS38" s="108">
        <v>29</v>
      </c>
      <c r="AT38" s="108">
        <f>SUM(B38:AS38)</f>
        <v>1408</v>
      </c>
      <c r="AU38" s="109">
        <v>9.59</v>
      </c>
      <c r="AV38" s="158"/>
    </row>
    <row r="39" spans="1:48" ht="15" customHeight="1">
      <c r="A39" s="99" t="s">
        <v>273</v>
      </c>
      <c r="B39" s="108">
        <v>16</v>
      </c>
      <c r="C39" s="108">
        <v>15</v>
      </c>
      <c r="D39" s="108">
        <v>10</v>
      </c>
      <c r="E39" s="108">
        <v>17</v>
      </c>
      <c r="F39" s="108">
        <v>46</v>
      </c>
      <c r="G39" s="108">
        <v>33</v>
      </c>
      <c r="H39" s="108">
        <v>5</v>
      </c>
      <c r="I39" s="108">
        <v>11</v>
      </c>
      <c r="J39" s="108">
        <v>42</v>
      </c>
      <c r="K39" s="108">
        <v>16</v>
      </c>
      <c r="L39" s="108">
        <v>21</v>
      </c>
      <c r="M39" s="108">
        <v>31</v>
      </c>
      <c r="N39" s="108">
        <v>28</v>
      </c>
      <c r="O39" s="108">
        <v>44</v>
      </c>
      <c r="P39" s="108">
        <v>38</v>
      </c>
      <c r="Q39" s="108">
        <v>37</v>
      </c>
      <c r="R39" s="108">
        <v>52</v>
      </c>
      <c r="S39" s="108">
        <v>39</v>
      </c>
      <c r="T39" s="108">
        <v>20</v>
      </c>
      <c r="U39" s="108">
        <v>8</v>
      </c>
      <c r="V39" s="108">
        <v>19</v>
      </c>
      <c r="W39" s="108">
        <v>44</v>
      </c>
      <c r="X39" s="108">
        <v>54</v>
      </c>
      <c r="Y39" s="108">
        <v>35</v>
      </c>
      <c r="Z39" s="108">
        <v>28</v>
      </c>
      <c r="AA39" s="108">
        <v>32</v>
      </c>
      <c r="AB39" s="108">
        <v>29</v>
      </c>
      <c r="AC39" s="108">
        <v>24</v>
      </c>
      <c r="AD39" s="108">
        <v>22</v>
      </c>
      <c r="AE39" s="108">
        <v>24</v>
      </c>
      <c r="AF39" s="108">
        <v>27</v>
      </c>
      <c r="AG39" s="108">
        <v>34</v>
      </c>
      <c r="AH39" s="108">
        <v>36</v>
      </c>
      <c r="AI39" s="108">
        <v>41</v>
      </c>
      <c r="AJ39" s="108">
        <v>40</v>
      </c>
      <c r="AK39" s="108">
        <v>44</v>
      </c>
      <c r="AL39" s="108">
        <v>51</v>
      </c>
      <c r="AM39" s="108">
        <v>44</v>
      </c>
      <c r="AN39" s="108">
        <v>35</v>
      </c>
      <c r="AO39" s="108">
        <v>42</v>
      </c>
      <c r="AP39" s="108">
        <v>43</v>
      </c>
      <c r="AQ39" s="108">
        <v>50</v>
      </c>
      <c r="AR39" s="108">
        <v>28</v>
      </c>
      <c r="AS39" s="108">
        <v>29</v>
      </c>
      <c r="AT39" s="108">
        <f>SUM(B39:AS39)</f>
        <v>1384</v>
      </c>
      <c r="AU39" s="109">
        <v>9.43</v>
      </c>
      <c r="AV39" s="158"/>
    </row>
    <row r="40" spans="1:47" ht="23.25" customHeight="1">
      <c r="A40" s="100" t="s">
        <v>239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</row>
    <row r="41" spans="1:48" ht="15" customHeight="1">
      <c r="A41" s="102" t="s">
        <v>195</v>
      </c>
      <c r="B41" s="116">
        <v>0</v>
      </c>
      <c r="C41" s="116">
        <v>0</v>
      </c>
      <c r="D41" s="116">
        <v>6</v>
      </c>
      <c r="E41" s="116">
        <v>12</v>
      </c>
      <c r="F41" s="116">
        <v>10</v>
      </c>
      <c r="G41" s="116">
        <v>10</v>
      </c>
      <c r="H41" s="116">
        <v>5</v>
      </c>
      <c r="I41" s="116">
        <v>7</v>
      </c>
      <c r="J41" s="116">
        <v>7</v>
      </c>
      <c r="K41" s="116">
        <v>10</v>
      </c>
      <c r="L41" s="116">
        <v>5</v>
      </c>
      <c r="M41" s="116">
        <v>7</v>
      </c>
      <c r="N41" s="116">
        <v>10</v>
      </c>
      <c r="O41" s="116">
        <v>11</v>
      </c>
      <c r="P41" s="116">
        <v>8</v>
      </c>
      <c r="Q41" s="116">
        <v>8</v>
      </c>
      <c r="R41" s="116">
        <v>6</v>
      </c>
      <c r="S41" s="116">
        <v>13</v>
      </c>
      <c r="T41" s="116">
        <v>14</v>
      </c>
      <c r="U41" s="116">
        <v>3</v>
      </c>
      <c r="V41" s="116">
        <v>1</v>
      </c>
      <c r="W41" s="116">
        <v>6</v>
      </c>
      <c r="X41" s="116">
        <v>12</v>
      </c>
      <c r="Y41" s="116">
        <v>11</v>
      </c>
      <c r="Z41" s="116">
        <v>14</v>
      </c>
      <c r="AA41" s="116">
        <v>8</v>
      </c>
      <c r="AB41" s="116">
        <v>2</v>
      </c>
      <c r="AC41" s="116">
        <v>5</v>
      </c>
      <c r="AD41" s="116">
        <v>6</v>
      </c>
      <c r="AE41" s="116">
        <v>9</v>
      </c>
      <c r="AF41" s="116">
        <v>5</v>
      </c>
      <c r="AG41" s="116">
        <v>5</v>
      </c>
      <c r="AH41" s="116">
        <v>7</v>
      </c>
      <c r="AI41" s="117">
        <v>6</v>
      </c>
      <c r="AJ41" s="116">
        <v>2</v>
      </c>
      <c r="AK41" s="116">
        <v>0</v>
      </c>
      <c r="AL41" s="116">
        <v>0</v>
      </c>
      <c r="AM41" s="116">
        <v>12</v>
      </c>
      <c r="AN41" s="116">
        <v>14</v>
      </c>
      <c r="AO41" s="116">
        <v>7</v>
      </c>
      <c r="AP41" s="116">
        <v>4</v>
      </c>
      <c r="AQ41" s="117">
        <v>9</v>
      </c>
      <c r="AR41" s="116">
        <v>1</v>
      </c>
      <c r="AS41" s="117">
        <v>2</v>
      </c>
      <c r="AT41" s="108">
        <f>SUM(B41:AS41)</f>
        <v>300</v>
      </c>
      <c r="AU41" s="112">
        <v>3.41</v>
      </c>
      <c r="AV41" s="158"/>
    </row>
    <row r="42" spans="1:48" ht="15" customHeight="1">
      <c r="A42" s="101" t="s">
        <v>196</v>
      </c>
      <c r="B42" s="108">
        <v>18</v>
      </c>
      <c r="C42" s="108">
        <v>28</v>
      </c>
      <c r="D42" s="108">
        <v>5</v>
      </c>
      <c r="E42" s="108">
        <v>6</v>
      </c>
      <c r="F42" s="108">
        <v>7</v>
      </c>
      <c r="G42" s="108">
        <v>18</v>
      </c>
      <c r="H42" s="108">
        <v>7</v>
      </c>
      <c r="I42" s="108">
        <v>12</v>
      </c>
      <c r="J42" s="108">
        <v>9</v>
      </c>
      <c r="K42" s="108">
        <v>21</v>
      </c>
      <c r="L42" s="108">
        <v>10</v>
      </c>
      <c r="M42" s="108">
        <v>16</v>
      </c>
      <c r="N42" s="108">
        <v>14</v>
      </c>
      <c r="O42" s="108">
        <v>17</v>
      </c>
      <c r="P42" s="108">
        <v>16</v>
      </c>
      <c r="Q42" s="108">
        <v>10</v>
      </c>
      <c r="R42" s="108">
        <v>13</v>
      </c>
      <c r="S42" s="108">
        <v>16</v>
      </c>
      <c r="T42" s="108">
        <v>16</v>
      </c>
      <c r="U42" s="108">
        <v>12</v>
      </c>
      <c r="V42" s="108">
        <v>39</v>
      </c>
      <c r="W42" s="108">
        <v>15</v>
      </c>
      <c r="X42" s="108">
        <v>17</v>
      </c>
      <c r="Y42" s="108">
        <v>26</v>
      </c>
      <c r="Z42" s="108">
        <v>13</v>
      </c>
      <c r="AA42" s="108">
        <v>15</v>
      </c>
      <c r="AB42" s="108">
        <v>9</v>
      </c>
      <c r="AC42" s="108">
        <v>7</v>
      </c>
      <c r="AD42" s="108">
        <v>14</v>
      </c>
      <c r="AE42" s="108">
        <v>15</v>
      </c>
      <c r="AF42" s="108">
        <v>11</v>
      </c>
      <c r="AG42" s="108">
        <v>12</v>
      </c>
      <c r="AH42" s="108">
        <v>12</v>
      </c>
      <c r="AI42" s="118">
        <v>26</v>
      </c>
      <c r="AJ42" s="108">
        <v>21</v>
      </c>
      <c r="AK42" s="108">
        <v>0</v>
      </c>
      <c r="AL42" s="108">
        <v>0</v>
      </c>
      <c r="AM42" s="108">
        <v>24</v>
      </c>
      <c r="AN42" s="108">
        <v>18</v>
      </c>
      <c r="AO42" s="108">
        <v>11</v>
      </c>
      <c r="AP42" s="108">
        <v>24</v>
      </c>
      <c r="AQ42" s="118">
        <v>7</v>
      </c>
      <c r="AR42" s="108">
        <v>9</v>
      </c>
      <c r="AS42" s="118">
        <v>6</v>
      </c>
      <c r="AT42" s="108">
        <f>SUM(B42:AS42)</f>
        <v>622</v>
      </c>
      <c r="AU42" s="109">
        <f>(100/AT43)*AT42</f>
        <v>4.065625204261717</v>
      </c>
      <c r="AV42" s="158"/>
    </row>
    <row r="43" spans="1:48" ht="15" customHeight="1" thickBot="1">
      <c r="A43" s="103" t="s">
        <v>26</v>
      </c>
      <c r="B43" s="119">
        <v>282</v>
      </c>
      <c r="C43" s="119">
        <v>320</v>
      </c>
      <c r="D43" s="119">
        <v>278</v>
      </c>
      <c r="E43" s="119">
        <v>312</v>
      </c>
      <c r="F43" s="119">
        <v>364</v>
      </c>
      <c r="G43" s="119">
        <v>407</v>
      </c>
      <c r="H43" s="119">
        <v>216</v>
      </c>
      <c r="I43" s="119">
        <v>235</v>
      </c>
      <c r="J43" s="119">
        <v>337</v>
      </c>
      <c r="K43" s="119">
        <v>406</v>
      </c>
      <c r="L43" s="119">
        <v>295</v>
      </c>
      <c r="M43" s="119">
        <v>309</v>
      </c>
      <c r="N43" s="119">
        <v>320</v>
      </c>
      <c r="O43" s="119">
        <v>431</v>
      </c>
      <c r="P43" s="119">
        <v>412</v>
      </c>
      <c r="Q43" s="119">
        <v>355</v>
      </c>
      <c r="R43" s="119">
        <v>384</v>
      </c>
      <c r="S43" s="119">
        <v>389</v>
      </c>
      <c r="T43" s="119">
        <v>338</v>
      </c>
      <c r="U43" s="119">
        <v>351</v>
      </c>
      <c r="V43" s="119">
        <v>431</v>
      </c>
      <c r="W43" s="119">
        <v>453</v>
      </c>
      <c r="X43" s="119">
        <v>395</v>
      </c>
      <c r="Y43" s="119">
        <v>367</v>
      </c>
      <c r="Z43" s="119">
        <v>361</v>
      </c>
      <c r="AA43" s="119">
        <v>385</v>
      </c>
      <c r="AB43" s="119">
        <v>274</v>
      </c>
      <c r="AC43" s="119">
        <v>263</v>
      </c>
      <c r="AD43" s="119">
        <v>452</v>
      </c>
      <c r="AE43" s="119">
        <v>434</v>
      </c>
      <c r="AF43" s="119">
        <v>247</v>
      </c>
      <c r="AG43" s="119">
        <v>277</v>
      </c>
      <c r="AH43" s="119">
        <v>293</v>
      </c>
      <c r="AI43" s="119">
        <v>379</v>
      </c>
      <c r="AJ43" s="119">
        <v>390</v>
      </c>
      <c r="AK43" s="119">
        <v>358</v>
      </c>
      <c r="AL43" s="119">
        <v>397</v>
      </c>
      <c r="AM43" s="119">
        <v>468</v>
      </c>
      <c r="AN43" s="119">
        <v>283</v>
      </c>
      <c r="AO43" s="119">
        <v>328</v>
      </c>
      <c r="AP43" s="119">
        <v>419</v>
      </c>
      <c r="AQ43" s="119">
        <v>386</v>
      </c>
      <c r="AR43" s="119">
        <v>280</v>
      </c>
      <c r="AS43" s="119">
        <v>238</v>
      </c>
      <c r="AT43" s="116">
        <f>SUM(B43:AS43)</f>
        <v>15299</v>
      </c>
      <c r="AU43" s="109">
        <v>100</v>
      </c>
      <c r="AV43" s="158"/>
    </row>
    <row r="44" spans="1:47" ht="15" customHeight="1" thickBot="1">
      <c r="A44" s="104" t="s">
        <v>197</v>
      </c>
      <c r="B44" s="113">
        <f>100/449*282</f>
        <v>62.80623608017818</v>
      </c>
      <c r="C44" s="113">
        <f>100/510*320</f>
        <v>62.745098039215684</v>
      </c>
      <c r="D44" s="113">
        <f>100/458*278</f>
        <v>60.69868995633188</v>
      </c>
      <c r="E44" s="113">
        <f>100/481*312</f>
        <v>64.86486486486487</v>
      </c>
      <c r="F44" s="113">
        <f>100/601*364</f>
        <v>60.5657237936772</v>
      </c>
      <c r="G44" s="113">
        <f>100/643*407</f>
        <v>63.29704510108865</v>
      </c>
      <c r="H44" s="113">
        <f>100/396*216</f>
        <v>54.54545454545455</v>
      </c>
      <c r="I44" s="113">
        <f>100/382*235</f>
        <v>61.518324607329845</v>
      </c>
      <c r="J44" s="113">
        <f>100/637*337</f>
        <v>52.90423861852433</v>
      </c>
      <c r="K44" s="113">
        <f>100/692*406</f>
        <v>58.67052023121388</v>
      </c>
      <c r="L44" s="114">
        <f>100/525*295</f>
        <v>56.19047619047619</v>
      </c>
      <c r="M44" s="113">
        <f>100/546*309</f>
        <v>56.59340659340659</v>
      </c>
      <c r="N44" s="113">
        <f>100/539*320</f>
        <v>59.36920222634508</v>
      </c>
      <c r="O44" s="113">
        <f>100/805*431</f>
        <v>53.54037267080745</v>
      </c>
      <c r="P44" s="113">
        <f>100/762*412</f>
        <v>54.06824146981627</v>
      </c>
      <c r="Q44" s="113">
        <f>100/579*355</f>
        <v>61.31260794473229</v>
      </c>
      <c r="R44" s="113">
        <f>100/606*384</f>
        <v>63.366336633663366</v>
      </c>
      <c r="S44" s="113">
        <f>100/648*389</f>
        <v>60.03086419753086</v>
      </c>
      <c r="T44" s="113">
        <f>100/548*338</f>
        <v>61.67883211678832</v>
      </c>
      <c r="U44" s="113">
        <f>100/569*351</f>
        <v>61.6871704745167</v>
      </c>
      <c r="V44" s="113">
        <f>100/769*431</f>
        <v>56.04681404421327</v>
      </c>
      <c r="W44" s="113">
        <f>100/766*453</f>
        <v>59.138381201044396</v>
      </c>
      <c r="X44" s="113">
        <f>100/672*395</f>
        <v>58.779761904761905</v>
      </c>
      <c r="Y44" s="113">
        <f>100/609*367</f>
        <v>60.262725779967155</v>
      </c>
      <c r="Z44" s="113">
        <f>100/618*361</f>
        <v>58.41423948220064</v>
      </c>
      <c r="AA44" s="113">
        <f>100/612*385</f>
        <v>62.908496732026144</v>
      </c>
      <c r="AB44" s="113">
        <f>100/455*274</f>
        <v>60.21978021978022</v>
      </c>
      <c r="AC44" s="113">
        <f>100/450*263</f>
        <v>58.44444444444444</v>
      </c>
      <c r="AD44" s="113">
        <f>100/739*452</f>
        <v>61.163734776725306</v>
      </c>
      <c r="AE44" s="113">
        <f>100/717*434</f>
        <v>60.52998605299861</v>
      </c>
      <c r="AF44" s="113">
        <f>100/443*247</f>
        <v>55.75620767494357</v>
      </c>
      <c r="AG44" s="113">
        <f>100/419*277</f>
        <v>66.10978520286396</v>
      </c>
      <c r="AH44" s="113">
        <f>100/470*293</f>
        <v>62.340425531914896</v>
      </c>
      <c r="AI44" s="113">
        <f>100/580*379</f>
        <v>65.3448275862069</v>
      </c>
      <c r="AJ44" s="113">
        <f>100/573*390</f>
        <v>68.06282722513089</v>
      </c>
      <c r="AK44" s="113">
        <f>100/588*358</f>
        <v>60.8843537414966</v>
      </c>
      <c r="AL44" s="113">
        <f>100/634*397</f>
        <v>62.618296529968454</v>
      </c>
      <c r="AM44" s="113">
        <f>100/682*468</f>
        <v>68.6217008797654</v>
      </c>
      <c r="AN44" s="113">
        <f>100/438*283</f>
        <v>64.61187214611871</v>
      </c>
      <c r="AO44" s="113">
        <f>100/520*328</f>
        <v>63.07692307692308</v>
      </c>
      <c r="AP44" s="113">
        <f>100/675*419</f>
        <v>62.07407407407407</v>
      </c>
      <c r="AQ44" s="113">
        <f>100/651*386</f>
        <v>59.293394777265746</v>
      </c>
      <c r="AR44" s="113">
        <f>100/428*280</f>
        <v>65.42056074766356</v>
      </c>
      <c r="AS44" s="113">
        <f>100/366*238</f>
        <v>65.02732240437159</v>
      </c>
      <c r="AT44" s="113">
        <v>64.32</v>
      </c>
      <c r="AU44" s="113">
        <v>60.59</v>
      </c>
    </row>
    <row r="45" spans="2:47" ht="12.75">
      <c r="B45" s="41"/>
      <c r="AU45" s="84"/>
    </row>
    <row r="46" spans="2:47" ht="12.75">
      <c r="B46" s="41"/>
      <c r="AU46" s="84"/>
    </row>
    <row r="48" spans="2:6" ht="12.75">
      <c r="B48" s="105"/>
      <c r="F48" s="105"/>
    </row>
    <row r="49" spans="2:6" ht="12.75">
      <c r="B49" s="105"/>
      <c r="F49" s="105"/>
    </row>
    <row r="50" spans="2:6" ht="12.75">
      <c r="B50" s="105"/>
      <c r="F50" s="105"/>
    </row>
    <row r="51" spans="2:6" ht="12.75">
      <c r="B51" s="105"/>
      <c r="F51" s="105"/>
    </row>
    <row r="52" spans="2:6" ht="12.75">
      <c r="B52" s="105"/>
      <c r="F52" s="105"/>
    </row>
    <row r="53" spans="2:6" ht="12.75">
      <c r="B53" s="105"/>
      <c r="F53" s="105"/>
    </row>
    <row r="54" spans="2:6" ht="12.75">
      <c r="B54" s="105"/>
      <c r="F54" s="105"/>
    </row>
    <row r="55" spans="2:6" ht="12.75">
      <c r="B55" s="105"/>
      <c r="F55" s="105"/>
    </row>
    <row r="56" spans="2:6" ht="12.75">
      <c r="B56" s="105"/>
      <c r="F56" s="105"/>
    </row>
    <row r="57" spans="2:6" ht="12.75">
      <c r="B57" s="105"/>
      <c r="F57" s="105"/>
    </row>
    <row r="58" spans="2:6" ht="12.75">
      <c r="B58" s="105"/>
      <c r="F58" s="105"/>
    </row>
    <row r="59" spans="2:6" ht="12.75">
      <c r="B59" s="105"/>
      <c r="F59" s="105"/>
    </row>
    <row r="60" spans="2:6" ht="12.75">
      <c r="B60" s="105"/>
      <c r="F60" s="105"/>
    </row>
    <row r="61" spans="2:6" ht="12.75">
      <c r="B61" s="105"/>
      <c r="F61" s="105"/>
    </row>
    <row r="62" spans="2:6" ht="12.75">
      <c r="B62" s="105"/>
      <c r="F62" s="105"/>
    </row>
    <row r="63" spans="2:6" ht="12.75">
      <c r="B63" s="105"/>
      <c r="F63" s="105"/>
    </row>
    <row r="64" spans="2:6" ht="12.75">
      <c r="B64" s="105"/>
      <c r="F64" s="105"/>
    </row>
    <row r="65" spans="2:6" ht="12.75">
      <c r="B65" s="105"/>
      <c r="F65" s="105"/>
    </row>
    <row r="66" spans="2:6" ht="12.75">
      <c r="B66" s="105"/>
      <c r="F66" s="105"/>
    </row>
    <row r="67" spans="2:6" ht="12.75">
      <c r="B67" s="105"/>
      <c r="F67" s="105"/>
    </row>
    <row r="68" spans="2:6" ht="12.75">
      <c r="B68" s="105"/>
      <c r="F68" s="105"/>
    </row>
    <row r="69" spans="2:6" ht="12.75">
      <c r="B69" s="105"/>
      <c r="F69" s="105"/>
    </row>
    <row r="70" spans="2:6" ht="12.75">
      <c r="B70" s="105"/>
      <c r="F70" s="105"/>
    </row>
  </sheetData>
  <sheetProtection/>
  <mergeCells count="5">
    <mergeCell ref="AT6:AT8"/>
    <mergeCell ref="AU6:AU8"/>
    <mergeCell ref="A1:L1"/>
    <mergeCell ref="A3:M3"/>
    <mergeCell ref="A4:C4"/>
  </mergeCells>
  <printOptions/>
  <pageMargins left="0.75" right="0.75" top="1" bottom="1" header="0" footer="0"/>
  <pageSetup fitToHeight="1" fitToWidth="1" horizontalDpi="600" verticalDpi="6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7"/>
  <sheetViews>
    <sheetView zoomScalePageLayoutView="0" workbookViewId="0" topLeftCell="A1">
      <selection activeCell="B46" sqref="B46"/>
    </sheetView>
  </sheetViews>
  <sheetFormatPr defaultColWidth="11.421875" defaultRowHeight="12.75"/>
  <cols>
    <col min="1" max="1" width="9.28125" style="0" customWidth="1"/>
    <col min="2" max="2" width="35.7109375" style="0" customWidth="1"/>
    <col min="3" max="3" width="7.8515625" style="0" customWidth="1"/>
    <col min="4" max="4" width="6.421875" style="0" customWidth="1"/>
    <col min="5" max="5" width="5.57421875" style="0" customWidth="1"/>
    <col min="6" max="6" width="7.140625" style="0" customWidth="1"/>
    <col min="7" max="7" width="6.140625" style="0" customWidth="1"/>
    <col min="8" max="9" width="5.57421875" style="0" customWidth="1"/>
    <col min="10" max="10" width="6.421875" style="0" customWidth="1"/>
    <col min="11" max="11" width="6.8515625" style="0" customWidth="1"/>
    <col min="12" max="12" width="6.7109375" style="0" customWidth="1"/>
    <col min="13" max="13" width="5.421875" style="0" customWidth="1"/>
    <col min="14" max="14" width="9.421875" style="0" customWidth="1"/>
    <col min="15" max="15" width="4.8515625" style="0" customWidth="1"/>
    <col min="16" max="16" width="5.28125" style="0" customWidth="1"/>
    <col min="17" max="17" width="7.00390625" style="0" customWidth="1"/>
    <col min="18" max="18" width="8.140625" style="0" customWidth="1"/>
    <col min="19" max="19" width="5.140625" style="0" customWidth="1"/>
    <col min="20" max="20" width="6.00390625" style="0" customWidth="1"/>
    <col min="21" max="21" width="5.57421875" style="0" customWidth="1"/>
    <col min="22" max="22" width="5.421875" style="0" customWidth="1"/>
    <col min="23" max="23" width="6.8515625" style="0" customWidth="1"/>
    <col min="24" max="24" width="6.140625" style="0" customWidth="1"/>
    <col min="25" max="25" width="4.7109375" style="0" customWidth="1"/>
    <col min="26" max="26" width="4.00390625" style="0" customWidth="1"/>
    <col min="27" max="27" width="6.140625" style="0" customWidth="1"/>
    <col min="28" max="28" width="5.00390625" style="0" customWidth="1"/>
  </cols>
  <sheetData>
    <row r="1" spans="1:21" s="2" customFormat="1" ht="18">
      <c r="A1" s="1"/>
      <c r="B1" s="147" t="s">
        <v>47</v>
      </c>
      <c r="C1" s="147"/>
      <c r="D1" s="147"/>
      <c r="E1" s="147"/>
      <c r="F1" s="147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</row>
    <row r="2" spans="1:9" s="2" customFormat="1" ht="12.75">
      <c r="A2" s="1"/>
      <c r="B2" s="3" t="s">
        <v>0</v>
      </c>
      <c r="C2" s="4"/>
      <c r="D2" s="1"/>
      <c r="E2" s="1"/>
      <c r="F2" s="1"/>
      <c r="G2" s="1"/>
      <c r="H2"/>
      <c r="I2"/>
    </row>
    <row r="3" spans="1:22" s="2" customFormat="1" ht="12.75">
      <c r="A3" s="1"/>
      <c r="B3" s="149" t="s">
        <v>90</v>
      </c>
      <c r="C3" s="149"/>
      <c r="D3" s="149"/>
      <c r="E3" s="149"/>
      <c r="F3" s="149"/>
      <c r="G3" s="149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</row>
    <row r="4" spans="1:9" s="2" customFormat="1" ht="12.75">
      <c r="A4" s="1"/>
      <c r="B4" s="146" t="s">
        <v>1</v>
      </c>
      <c r="C4" s="146"/>
      <c r="D4" s="146"/>
      <c r="E4" s="1"/>
      <c r="F4" s="1"/>
      <c r="G4" s="1"/>
      <c r="H4"/>
      <c r="I4"/>
    </row>
    <row r="5" ht="15" customHeight="1" thickBot="1"/>
    <row r="6" spans="2:28" s="30" customFormat="1" ht="30.75" customHeight="1" thickBot="1">
      <c r="B6" s="34" t="s">
        <v>48</v>
      </c>
      <c r="C6" s="35" t="s">
        <v>49</v>
      </c>
      <c r="D6" s="35" t="s">
        <v>50</v>
      </c>
      <c r="E6" s="35" t="s">
        <v>51</v>
      </c>
      <c r="F6" s="36" t="s">
        <v>52</v>
      </c>
      <c r="G6" s="36" t="s">
        <v>7</v>
      </c>
      <c r="H6" s="36" t="s">
        <v>53</v>
      </c>
      <c r="I6" s="36" t="s">
        <v>54</v>
      </c>
      <c r="J6" s="37" t="s">
        <v>55</v>
      </c>
      <c r="K6" s="37" t="s">
        <v>56</v>
      </c>
      <c r="L6" s="37" t="s">
        <v>57</v>
      </c>
      <c r="M6" s="36" t="s">
        <v>58</v>
      </c>
      <c r="N6" s="37" t="s">
        <v>59</v>
      </c>
      <c r="O6" s="36" t="s">
        <v>60</v>
      </c>
      <c r="P6" s="36" t="s">
        <v>61</v>
      </c>
      <c r="Q6" s="36" t="s">
        <v>62</v>
      </c>
      <c r="R6" s="37" t="s">
        <v>63</v>
      </c>
      <c r="S6" s="37" t="s">
        <v>64</v>
      </c>
      <c r="T6" s="37" t="s">
        <v>65</v>
      </c>
      <c r="U6" s="37" t="s">
        <v>66</v>
      </c>
      <c r="V6" s="36" t="s">
        <v>67</v>
      </c>
      <c r="W6" s="39" t="s">
        <v>68</v>
      </c>
      <c r="X6" s="36" t="s">
        <v>69</v>
      </c>
      <c r="Y6" s="36" t="s">
        <v>70</v>
      </c>
      <c r="Z6" s="36" t="s">
        <v>71</v>
      </c>
      <c r="AA6" s="36" t="s">
        <v>72</v>
      </c>
      <c r="AB6" s="38" t="s">
        <v>73</v>
      </c>
    </row>
    <row r="7" spans="2:28" s="30" customFormat="1" ht="12.75" customHeight="1"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3"/>
    </row>
    <row r="8" spans="2:28" ht="12.75">
      <c r="B8" s="6" t="s">
        <v>74</v>
      </c>
      <c r="C8" s="7">
        <v>1</v>
      </c>
      <c r="D8" s="7">
        <v>1</v>
      </c>
      <c r="E8" s="23" t="s">
        <v>75</v>
      </c>
      <c r="F8" s="7">
        <v>156</v>
      </c>
      <c r="G8" s="7">
        <v>121</v>
      </c>
      <c r="H8" s="7">
        <v>0</v>
      </c>
      <c r="I8" s="7">
        <v>0</v>
      </c>
      <c r="J8" s="7">
        <v>0</v>
      </c>
      <c r="K8" s="7">
        <v>0</v>
      </c>
      <c r="L8" s="7">
        <v>14</v>
      </c>
      <c r="M8" s="7">
        <v>94</v>
      </c>
      <c r="N8" s="7">
        <v>200</v>
      </c>
      <c r="O8" s="7">
        <v>1</v>
      </c>
      <c r="P8" s="7">
        <v>0</v>
      </c>
      <c r="Q8" s="7">
        <v>0</v>
      </c>
      <c r="R8" s="7">
        <v>0</v>
      </c>
      <c r="S8" s="7">
        <v>1</v>
      </c>
      <c r="T8" s="7">
        <v>0</v>
      </c>
      <c r="U8" s="7">
        <v>0</v>
      </c>
      <c r="V8" s="7">
        <v>1</v>
      </c>
      <c r="W8" s="7">
        <v>2</v>
      </c>
      <c r="X8" s="7">
        <v>5</v>
      </c>
      <c r="Y8" s="7">
        <v>0</v>
      </c>
      <c r="Z8" s="7">
        <v>0</v>
      </c>
      <c r="AA8" s="7">
        <v>0</v>
      </c>
      <c r="AB8" s="8">
        <v>0</v>
      </c>
    </row>
    <row r="9" spans="2:28" ht="12.75">
      <c r="B9" s="6" t="s">
        <v>74</v>
      </c>
      <c r="C9" s="7">
        <v>1</v>
      </c>
      <c r="D9" s="7">
        <v>1</v>
      </c>
      <c r="E9" s="23" t="s">
        <v>76</v>
      </c>
      <c r="F9" s="7">
        <v>179</v>
      </c>
      <c r="G9" s="7">
        <v>141</v>
      </c>
      <c r="H9" s="7">
        <v>0</v>
      </c>
      <c r="I9" s="7">
        <v>0</v>
      </c>
      <c r="J9" s="7">
        <v>0</v>
      </c>
      <c r="K9" s="7">
        <v>0</v>
      </c>
      <c r="L9" s="7">
        <v>17</v>
      </c>
      <c r="M9" s="7">
        <v>94</v>
      </c>
      <c r="N9" s="7">
        <v>219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1</v>
      </c>
      <c r="X9" s="7">
        <v>4</v>
      </c>
      <c r="Y9" s="7">
        <v>0</v>
      </c>
      <c r="Z9" s="7">
        <v>0</v>
      </c>
      <c r="AA9" s="7">
        <v>0</v>
      </c>
      <c r="AB9" s="8">
        <v>1</v>
      </c>
    </row>
    <row r="10" spans="2:28" ht="12.75">
      <c r="B10" s="6" t="s">
        <v>77</v>
      </c>
      <c r="C10" s="7">
        <v>1</v>
      </c>
      <c r="D10" s="7">
        <v>2</v>
      </c>
      <c r="E10" s="23" t="s">
        <v>78</v>
      </c>
      <c r="F10" s="7">
        <v>156</v>
      </c>
      <c r="G10" s="7">
        <v>73</v>
      </c>
      <c r="H10" s="7">
        <v>2</v>
      </c>
      <c r="I10" s="7">
        <v>0</v>
      </c>
      <c r="J10" s="7">
        <v>0</v>
      </c>
      <c r="K10" s="7">
        <v>0</v>
      </c>
      <c r="L10" s="7">
        <v>17</v>
      </c>
      <c r="M10" s="7">
        <v>143</v>
      </c>
      <c r="N10" s="7">
        <v>184</v>
      </c>
      <c r="O10" s="7">
        <v>0</v>
      </c>
      <c r="P10" s="7">
        <v>0</v>
      </c>
      <c r="Q10" s="7">
        <v>0</v>
      </c>
      <c r="R10" s="7">
        <v>0</v>
      </c>
      <c r="S10" s="7">
        <v>1</v>
      </c>
      <c r="T10" s="7">
        <v>0</v>
      </c>
      <c r="U10" s="7">
        <v>0</v>
      </c>
      <c r="V10" s="7">
        <v>0</v>
      </c>
      <c r="W10" s="7">
        <v>1</v>
      </c>
      <c r="X10" s="7">
        <v>0</v>
      </c>
      <c r="Y10" s="7">
        <v>0</v>
      </c>
      <c r="Z10" s="7">
        <v>0</v>
      </c>
      <c r="AA10" s="7">
        <v>0</v>
      </c>
      <c r="AB10" s="8">
        <v>0</v>
      </c>
    </row>
    <row r="11" spans="2:28" ht="12.75">
      <c r="B11" s="6" t="s">
        <v>30</v>
      </c>
      <c r="C11" s="7">
        <v>2</v>
      </c>
      <c r="D11" s="7">
        <v>1</v>
      </c>
      <c r="E11" s="23" t="s">
        <v>78</v>
      </c>
      <c r="F11" s="7">
        <v>175</v>
      </c>
      <c r="G11" s="7">
        <v>91</v>
      </c>
      <c r="H11" s="7">
        <v>0</v>
      </c>
      <c r="I11" s="7">
        <v>1</v>
      </c>
      <c r="J11" s="7">
        <v>0</v>
      </c>
      <c r="K11" s="7">
        <v>0</v>
      </c>
      <c r="L11" s="7">
        <v>12</v>
      </c>
      <c r="M11" s="7">
        <v>105</v>
      </c>
      <c r="N11" s="7">
        <v>225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3</v>
      </c>
      <c r="Y11" s="7">
        <v>0</v>
      </c>
      <c r="Z11" s="7">
        <v>0</v>
      </c>
      <c r="AA11" s="7">
        <v>0</v>
      </c>
      <c r="AB11" s="8">
        <v>0</v>
      </c>
    </row>
    <row r="12" spans="2:28" ht="12.75">
      <c r="B12" s="6" t="s">
        <v>30</v>
      </c>
      <c r="C12" s="7">
        <v>2</v>
      </c>
      <c r="D12" s="7">
        <v>2</v>
      </c>
      <c r="E12" s="23" t="s">
        <v>75</v>
      </c>
      <c r="F12" s="7">
        <v>88</v>
      </c>
      <c r="G12" s="7">
        <v>69</v>
      </c>
      <c r="H12" s="7">
        <v>0</v>
      </c>
      <c r="I12" s="7">
        <v>0</v>
      </c>
      <c r="J12" s="7">
        <v>0</v>
      </c>
      <c r="K12" s="7">
        <v>0</v>
      </c>
      <c r="L12" s="7">
        <v>8</v>
      </c>
      <c r="M12" s="7">
        <v>75</v>
      </c>
      <c r="N12" s="7">
        <v>184</v>
      </c>
      <c r="O12" s="7">
        <v>1</v>
      </c>
      <c r="P12" s="7">
        <v>1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2</v>
      </c>
      <c r="W12" s="7">
        <v>0</v>
      </c>
      <c r="X12" s="7">
        <v>0</v>
      </c>
      <c r="Y12" s="7">
        <v>0</v>
      </c>
      <c r="Z12" s="7">
        <v>1</v>
      </c>
      <c r="AA12" s="7">
        <v>0</v>
      </c>
      <c r="AB12" s="8">
        <v>0</v>
      </c>
    </row>
    <row r="13" spans="2:28" ht="12.75">
      <c r="B13" s="6" t="s">
        <v>30</v>
      </c>
      <c r="C13" s="7">
        <v>2</v>
      </c>
      <c r="D13" s="7">
        <v>2</v>
      </c>
      <c r="E13" s="23" t="s">
        <v>76</v>
      </c>
      <c r="F13" s="7">
        <v>106</v>
      </c>
      <c r="G13" s="7">
        <v>58</v>
      </c>
      <c r="H13" s="7">
        <v>0</v>
      </c>
      <c r="I13" s="7">
        <v>0</v>
      </c>
      <c r="J13" s="7">
        <v>0</v>
      </c>
      <c r="K13" s="7">
        <v>0</v>
      </c>
      <c r="L13" s="7">
        <v>11</v>
      </c>
      <c r="M13" s="7">
        <v>111</v>
      </c>
      <c r="N13" s="7">
        <v>229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0</v>
      </c>
      <c r="U13" s="7">
        <v>0</v>
      </c>
      <c r="V13" s="7">
        <v>1</v>
      </c>
      <c r="W13" s="7">
        <v>0</v>
      </c>
      <c r="X13" s="7">
        <v>4</v>
      </c>
      <c r="Y13" s="7">
        <v>0</v>
      </c>
      <c r="Z13" s="7">
        <v>0</v>
      </c>
      <c r="AA13" s="7">
        <v>0</v>
      </c>
      <c r="AB13" s="8">
        <v>1</v>
      </c>
    </row>
    <row r="14" spans="2:28" ht="12.75">
      <c r="B14" s="6" t="s">
        <v>79</v>
      </c>
      <c r="C14" s="7">
        <v>2</v>
      </c>
      <c r="D14" s="7">
        <v>3</v>
      </c>
      <c r="E14" s="23" t="s">
        <v>75</v>
      </c>
      <c r="F14" s="7">
        <v>79</v>
      </c>
      <c r="G14" s="7">
        <v>98</v>
      </c>
      <c r="H14" s="7">
        <v>1</v>
      </c>
      <c r="I14" s="7">
        <v>0</v>
      </c>
      <c r="J14" s="7">
        <v>1</v>
      </c>
      <c r="K14" s="7">
        <v>0</v>
      </c>
      <c r="L14" s="7">
        <v>19</v>
      </c>
      <c r="M14" s="7">
        <v>57</v>
      </c>
      <c r="N14" s="7">
        <v>176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7">
        <v>1</v>
      </c>
      <c r="U14" s="7">
        <v>0</v>
      </c>
      <c r="V14" s="7">
        <v>0</v>
      </c>
      <c r="W14" s="7">
        <v>0</v>
      </c>
      <c r="X14" s="7">
        <v>5</v>
      </c>
      <c r="Y14" s="7">
        <v>0</v>
      </c>
      <c r="Z14" s="7">
        <v>0</v>
      </c>
      <c r="AA14" s="7">
        <v>0</v>
      </c>
      <c r="AB14" s="8">
        <v>0</v>
      </c>
    </row>
    <row r="15" spans="2:28" ht="12.75">
      <c r="B15" s="6" t="s">
        <v>79</v>
      </c>
      <c r="C15" s="7">
        <v>2</v>
      </c>
      <c r="D15" s="7">
        <v>3</v>
      </c>
      <c r="E15" s="23" t="s">
        <v>76</v>
      </c>
      <c r="F15" s="7">
        <v>99</v>
      </c>
      <c r="G15" s="7">
        <v>94</v>
      </c>
      <c r="H15" s="7">
        <v>0</v>
      </c>
      <c r="I15" s="7">
        <v>0</v>
      </c>
      <c r="J15" s="7">
        <v>0</v>
      </c>
      <c r="K15" s="7">
        <v>0</v>
      </c>
      <c r="L15" s="7">
        <v>16</v>
      </c>
      <c r="M15" s="7">
        <v>67</v>
      </c>
      <c r="N15" s="7">
        <v>272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2</v>
      </c>
      <c r="W15" s="7">
        <v>1</v>
      </c>
      <c r="X15" s="7">
        <v>1</v>
      </c>
      <c r="Y15" s="7">
        <v>0</v>
      </c>
      <c r="Z15" s="7">
        <v>0</v>
      </c>
      <c r="AA15" s="7">
        <v>1</v>
      </c>
      <c r="AB15" s="8">
        <v>0</v>
      </c>
    </row>
    <row r="16" spans="2:28" ht="12.75">
      <c r="B16" s="6" t="s">
        <v>74</v>
      </c>
      <c r="C16" s="7">
        <v>2</v>
      </c>
      <c r="D16" s="7">
        <v>4</v>
      </c>
      <c r="E16" s="23" t="s">
        <v>78</v>
      </c>
      <c r="F16" s="7">
        <v>166</v>
      </c>
      <c r="G16" s="7">
        <v>129</v>
      </c>
      <c r="H16" s="7">
        <v>0</v>
      </c>
      <c r="I16" s="7">
        <v>1</v>
      </c>
      <c r="J16" s="7">
        <v>0</v>
      </c>
      <c r="K16" s="7">
        <v>0</v>
      </c>
      <c r="L16" s="7">
        <v>26</v>
      </c>
      <c r="M16" s="7">
        <v>89</v>
      </c>
      <c r="N16" s="7">
        <v>240</v>
      </c>
      <c r="O16" s="7">
        <v>0</v>
      </c>
      <c r="P16" s="7">
        <v>0</v>
      </c>
      <c r="Q16" s="7">
        <v>1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2</v>
      </c>
      <c r="X16" s="7">
        <v>5</v>
      </c>
      <c r="Y16" s="7">
        <v>0</v>
      </c>
      <c r="Z16" s="7">
        <v>0</v>
      </c>
      <c r="AA16" s="7">
        <v>0</v>
      </c>
      <c r="AB16" s="8">
        <v>0</v>
      </c>
    </row>
    <row r="17" spans="2:28" ht="12.75">
      <c r="B17" s="6" t="s">
        <v>80</v>
      </c>
      <c r="C17" s="7">
        <v>2</v>
      </c>
      <c r="D17" s="7">
        <v>5</v>
      </c>
      <c r="E17" s="23" t="s">
        <v>75</v>
      </c>
      <c r="F17" s="7">
        <v>54</v>
      </c>
      <c r="G17" s="7">
        <v>121</v>
      </c>
      <c r="H17" s="7">
        <v>0</v>
      </c>
      <c r="I17" s="7">
        <v>2</v>
      </c>
      <c r="J17" s="7">
        <v>0</v>
      </c>
      <c r="K17" s="7">
        <v>0</v>
      </c>
      <c r="L17" s="7">
        <v>28</v>
      </c>
      <c r="M17" s="7">
        <v>50</v>
      </c>
      <c r="N17" s="7">
        <v>208</v>
      </c>
      <c r="O17" s="7">
        <v>0</v>
      </c>
      <c r="P17" s="7">
        <v>0</v>
      </c>
      <c r="Q17" s="7">
        <v>0</v>
      </c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7">
        <v>3</v>
      </c>
      <c r="Y17" s="7">
        <v>0</v>
      </c>
      <c r="Z17" s="7">
        <v>0</v>
      </c>
      <c r="AA17" s="7">
        <v>1</v>
      </c>
      <c r="AB17" s="8">
        <v>0</v>
      </c>
    </row>
    <row r="18" spans="2:28" ht="12.75">
      <c r="B18" s="6" t="s">
        <v>80</v>
      </c>
      <c r="C18" s="7">
        <v>2</v>
      </c>
      <c r="D18" s="7">
        <v>5</v>
      </c>
      <c r="E18" s="23" t="s">
        <v>76</v>
      </c>
      <c r="F18" s="7">
        <v>76</v>
      </c>
      <c r="G18" s="7">
        <v>119</v>
      </c>
      <c r="H18" s="7">
        <v>0</v>
      </c>
      <c r="I18" s="7">
        <v>1</v>
      </c>
      <c r="J18" s="7">
        <v>0</v>
      </c>
      <c r="K18" s="7">
        <v>0</v>
      </c>
      <c r="L18" s="7">
        <v>19</v>
      </c>
      <c r="M18" s="7">
        <v>51</v>
      </c>
      <c r="N18" s="7">
        <v>237</v>
      </c>
      <c r="O18" s="7">
        <v>0</v>
      </c>
      <c r="P18" s="7">
        <v>0</v>
      </c>
      <c r="Q18" s="7">
        <v>0</v>
      </c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12</v>
      </c>
      <c r="Y18" s="7">
        <v>0</v>
      </c>
      <c r="Z18" s="7">
        <v>0</v>
      </c>
      <c r="AA18" s="7">
        <v>0</v>
      </c>
      <c r="AB18" s="8">
        <v>0</v>
      </c>
    </row>
    <row r="19" spans="2:28" ht="12.75">
      <c r="B19" s="6" t="s">
        <v>81</v>
      </c>
      <c r="C19" s="7">
        <v>3</v>
      </c>
      <c r="D19" s="7">
        <v>1</v>
      </c>
      <c r="E19" s="23" t="s">
        <v>75</v>
      </c>
      <c r="F19" s="7">
        <v>77</v>
      </c>
      <c r="G19" s="7">
        <v>76</v>
      </c>
      <c r="H19" s="7">
        <v>0</v>
      </c>
      <c r="I19" s="7">
        <v>0</v>
      </c>
      <c r="J19" s="7">
        <v>0</v>
      </c>
      <c r="K19" s="7">
        <v>0</v>
      </c>
      <c r="L19" s="7">
        <v>8</v>
      </c>
      <c r="M19" s="7">
        <v>69</v>
      </c>
      <c r="N19" s="7">
        <v>165</v>
      </c>
      <c r="O19" s="7">
        <v>0</v>
      </c>
      <c r="P19" s="7">
        <v>1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7">
        <v>2</v>
      </c>
      <c r="Y19" s="7">
        <v>0</v>
      </c>
      <c r="Z19" s="7">
        <v>0</v>
      </c>
      <c r="AA19" s="7">
        <v>0</v>
      </c>
      <c r="AB19" s="8">
        <v>0</v>
      </c>
    </row>
    <row r="20" spans="2:28" ht="12.75">
      <c r="B20" s="6" t="s">
        <v>81</v>
      </c>
      <c r="C20" s="7">
        <v>3</v>
      </c>
      <c r="D20" s="7">
        <v>1</v>
      </c>
      <c r="E20" s="23" t="s">
        <v>76</v>
      </c>
      <c r="F20" s="7">
        <v>94</v>
      </c>
      <c r="G20" s="7">
        <v>67</v>
      </c>
      <c r="H20" s="7">
        <v>0</v>
      </c>
      <c r="I20" s="7">
        <v>0</v>
      </c>
      <c r="J20" s="7">
        <v>0</v>
      </c>
      <c r="K20" s="7">
        <v>0</v>
      </c>
      <c r="L20" s="7">
        <v>11</v>
      </c>
      <c r="M20" s="7">
        <v>88</v>
      </c>
      <c r="N20" s="7">
        <v>230</v>
      </c>
      <c r="O20" s="7">
        <v>0</v>
      </c>
      <c r="P20" s="7">
        <v>0</v>
      </c>
      <c r="Q20" s="7">
        <v>0</v>
      </c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7">
        <v>1</v>
      </c>
      <c r="Y20" s="7">
        <v>0</v>
      </c>
      <c r="Z20" s="7">
        <v>0</v>
      </c>
      <c r="AA20" s="7">
        <v>0</v>
      </c>
      <c r="AB20" s="8">
        <v>0</v>
      </c>
    </row>
    <row r="21" spans="2:28" ht="12.75">
      <c r="B21" s="6" t="s">
        <v>82</v>
      </c>
      <c r="C21" s="7">
        <v>3</v>
      </c>
      <c r="D21" s="7">
        <v>2</v>
      </c>
      <c r="E21" s="23" t="s">
        <v>75</v>
      </c>
      <c r="F21" s="7">
        <v>63</v>
      </c>
      <c r="G21" s="7">
        <v>80</v>
      </c>
      <c r="H21" s="7">
        <v>0</v>
      </c>
      <c r="I21" s="7">
        <v>0</v>
      </c>
      <c r="J21" s="7">
        <v>0</v>
      </c>
      <c r="K21" s="7">
        <v>0</v>
      </c>
      <c r="L21" s="7">
        <v>16</v>
      </c>
      <c r="M21" s="7">
        <v>48</v>
      </c>
      <c r="N21" s="7">
        <v>162</v>
      </c>
      <c r="O21" s="7">
        <v>0</v>
      </c>
      <c r="P21" s="7">
        <v>0</v>
      </c>
      <c r="Q21" s="7">
        <v>0</v>
      </c>
      <c r="R21" s="7">
        <v>2</v>
      </c>
      <c r="S21" s="7">
        <v>0</v>
      </c>
      <c r="T21" s="7">
        <v>0</v>
      </c>
      <c r="U21" s="7">
        <v>0</v>
      </c>
      <c r="V21" s="7">
        <v>0</v>
      </c>
      <c r="W21" s="7">
        <v>0</v>
      </c>
      <c r="X21" s="7">
        <v>0</v>
      </c>
      <c r="Y21" s="7">
        <v>0</v>
      </c>
      <c r="Z21" s="7">
        <v>0</v>
      </c>
      <c r="AA21" s="7">
        <v>0</v>
      </c>
      <c r="AB21" s="8">
        <v>0</v>
      </c>
    </row>
    <row r="22" spans="2:28" ht="12.75">
      <c r="B22" s="6" t="s">
        <v>82</v>
      </c>
      <c r="C22" s="7">
        <v>3</v>
      </c>
      <c r="D22" s="7">
        <v>2</v>
      </c>
      <c r="E22" s="23" t="s">
        <v>76</v>
      </c>
      <c r="F22" s="7">
        <v>72</v>
      </c>
      <c r="G22" s="7">
        <v>85</v>
      </c>
      <c r="H22" s="7">
        <v>0</v>
      </c>
      <c r="I22" s="7">
        <v>0</v>
      </c>
      <c r="J22" s="7">
        <v>1</v>
      </c>
      <c r="K22" s="7">
        <v>0</v>
      </c>
      <c r="L22" s="7">
        <v>20</v>
      </c>
      <c r="M22" s="7">
        <v>55</v>
      </c>
      <c r="N22" s="7">
        <v>205</v>
      </c>
      <c r="O22" s="7">
        <v>0</v>
      </c>
      <c r="P22" s="7">
        <v>0</v>
      </c>
      <c r="Q22" s="7">
        <v>0</v>
      </c>
      <c r="R22" s="7">
        <v>0</v>
      </c>
      <c r="S22" s="7">
        <v>1</v>
      </c>
      <c r="T22" s="7">
        <v>0</v>
      </c>
      <c r="U22" s="7">
        <v>0</v>
      </c>
      <c r="V22" s="7">
        <v>0</v>
      </c>
      <c r="W22" s="7">
        <v>0</v>
      </c>
      <c r="X22" s="7">
        <v>3</v>
      </c>
      <c r="Y22" s="7">
        <v>0</v>
      </c>
      <c r="Z22" s="7">
        <v>0</v>
      </c>
      <c r="AA22" s="7">
        <v>0</v>
      </c>
      <c r="AB22" s="8">
        <v>0</v>
      </c>
    </row>
    <row r="23" spans="2:28" ht="12.75">
      <c r="B23" s="6" t="s">
        <v>83</v>
      </c>
      <c r="C23" s="7">
        <v>3</v>
      </c>
      <c r="D23" s="7">
        <v>3</v>
      </c>
      <c r="E23" s="23" t="s">
        <v>75</v>
      </c>
      <c r="F23" s="7">
        <v>115</v>
      </c>
      <c r="G23" s="7">
        <v>137</v>
      </c>
      <c r="H23" s="7">
        <v>1</v>
      </c>
      <c r="I23" s="7">
        <v>0</v>
      </c>
      <c r="J23" s="7">
        <v>1</v>
      </c>
      <c r="K23" s="7">
        <v>0</v>
      </c>
      <c r="L23" s="7">
        <v>18</v>
      </c>
      <c r="M23" s="7">
        <v>58</v>
      </c>
      <c r="N23" s="7">
        <v>203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7">
        <v>0</v>
      </c>
      <c r="V23" s="7">
        <v>2</v>
      </c>
      <c r="W23" s="7">
        <v>0</v>
      </c>
      <c r="X23" s="7">
        <v>2</v>
      </c>
      <c r="Y23" s="7">
        <v>0</v>
      </c>
      <c r="Z23" s="7">
        <v>0</v>
      </c>
      <c r="AA23" s="7">
        <v>0</v>
      </c>
      <c r="AB23" s="8">
        <v>0</v>
      </c>
    </row>
    <row r="24" spans="2:28" ht="12.75">
      <c r="B24" s="6" t="s">
        <v>83</v>
      </c>
      <c r="C24" s="7">
        <v>3</v>
      </c>
      <c r="D24" s="7">
        <v>3</v>
      </c>
      <c r="E24" s="23" t="s">
        <v>76</v>
      </c>
      <c r="F24" s="7">
        <v>141</v>
      </c>
      <c r="G24" s="7">
        <v>144</v>
      </c>
      <c r="H24" s="7">
        <v>0</v>
      </c>
      <c r="I24" s="7">
        <v>0</v>
      </c>
      <c r="J24" s="7">
        <v>0</v>
      </c>
      <c r="K24" s="7">
        <v>0</v>
      </c>
      <c r="L24" s="7">
        <v>23</v>
      </c>
      <c r="M24" s="7">
        <v>77</v>
      </c>
      <c r="N24" s="7">
        <v>218</v>
      </c>
      <c r="O24" s="7">
        <v>0</v>
      </c>
      <c r="P24" s="7">
        <v>0</v>
      </c>
      <c r="Q24" s="7">
        <v>1</v>
      </c>
      <c r="R24" s="7">
        <v>0</v>
      </c>
      <c r="S24" s="7">
        <v>0</v>
      </c>
      <c r="T24" s="7">
        <v>2</v>
      </c>
      <c r="U24" s="7">
        <v>0</v>
      </c>
      <c r="V24" s="7">
        <v>1</v>
      </c>
      <c r="W24" s="7">
        <v>1</v>
      </c>
      <c r="X24" s="7">
        <v>7</v>
      </c>
      <c r="Y24" s="7">
        <v>0</v>
      </c>
      <c r="Z24" s="7">
        <v>0</v>
      </c>
      <c r="AA24" s="7">
        <v>0</v>
      </c>
      <c r="AB24" s="8">
        <v>0</v>
      </c>
    </row>
    <row r="25" spans="2:28" ht="12.75">
      <c r="B25" s="6" t="s">
        <v>84</v>
      </c>
      <c r="C25" s="7">
        <v>3</v>
      </c>
      <c r="D25" s="7">
        <v>4</v>
      </c>
      <c r="E25" s="23" t="s">
        <v>75</v>
      </c>
      <c r="F25" s="7">
        <v>91</v>
      </c>
      <c r="G25" s="7">
        <v>115</v>
      </c>
      <c r="H25" s="7">
        <v>0</v>
      </c>
      <c r="I25" s="7">
        <v>1</v>
      </c>
      <c r="J25" s="7">
        <v>0</v>
      </c>
      <c r="K25" s="7">
        <v>0</v>
      </c>
      <c r="L25" s="7">
        <v>18</v>
      </c>
      <c r="M25" s="7">
        <v>71</v>
      </c>
      <c r="N25" s="7">
        <v>278</v>
      </c>
      <c r="O25" s="7">
        <v>0</v>
      </c>
      <c r="P25" s="7">
        <v>1</v>
      </c>
      <c r="Q25" s="7">
        <v>0</v>
      </c>
      <c r="R25" s="7">
        <v>0</v>
      </c>
      <c r="S25" s="7">
        <v>0</v>
      </c>
      <c r="T25" s="7">
        <v>1</v>
      </c>
      <c r="U25" s="7">
        <v>0</v>
      </c>
      <c r="V25" s="7">
        <v>2</v>
      </c>
      <c r="W25" s="7">
        <v>1</v>
      </c>
      <c r="X25" s="7">
        <v>6</v>
      </c>
      <c r="Y25" s="7">
        <v>0</v>
      </c>
      <c r="Z25" s="7">
        <v>0</v>
      </c>
      <c r="AA25" s="7">
        <v>0</v>
      </c>
      <c r="AB25" s="8">
        <v>0</v>
      </c>
    </row>
    <row r="26" spans="2:28" ht="12.75">
      <c r="B26" s="6" t="s">
        <v>84</v>
      </c>
      <c r="C26" s="7">
        <v>3</v>
      </c>
      <c r="D26" s="7">
        <v>4</v>
      </c>
      <c r="E26" s="23" t="s">
        <v>76</v>
      </c>
      <c r="F26" s="7">
        <v>124</v>
      </c>
      <c r="G26" s="7">
        <v>136</v>
      </c>
      <c r="H26" s="7">
        <v>0</v>
      </c>
      <c r="I26" s="7">
        <v>0</v>
      </c>
      <c r="J26" s="7">
        <v>0</v>
      </c>
      <c r="K26" s="7">
        <v>0</v>
      </c>
      <c r="L26" s="7">
        <v>28</v>
      </c>
      <c r="M26" s="7">
        <v>65</v>
      </c>
      <c r="N26" s="7">
        <v>409</v>
      </c>
      <c r="O26" s="7">
        <v>0</v>
      </c>
      <c r="P26" s="7">
        <v>0</v>
      </c>
      <c r="Q26" s="7">
        <v>0</v>
      </c>
      <c r="R26" s="7">
        <v>0</v>
      </c>
      <c r="S26" s="7">
        <v>0</v>
      </c>
      <c r="T26" s="7">
        <v>1</v>
      </c>
      <c r="U26" s="7">
        <v>0</v>
      </c>
      <c r="V26" s="7">
        <v>0</v>
      </c>
      <c r="W26" s="7">
        <v>0</v>
      </c>
      <c r="X26" s="7">
        <v>0</v>
      </c>
      <c r="Y26" s="7">
        <v>0</v>
      </c>
      <c r="Z26" s="7">
        <v>0</v>
      </c>
      <c r="AA26" s="7">
        <v>0</v>
      </c>
      <c r="AB26" s="8">
        <v>0</v>
      </c>
    </row>
    <row r="27" spans="2:28" ht="12.75">
      <c r="B27" s="6" t="s">
        <v>82</v>
      </c>
      <c r="C27" s="7">
        <v>3</v>
      </c>
      <c r="D27" s="7">
        <v>5</v>
      </c>
      <c r="E27" s="23" t="s">
        <v>78</v>
      </c>
      <c r="F27" s="7">
        <v>153</v>
      </c>
      <c r="G27" s="7">
        <v>108</v>
      </c>
      <c r="H27" s="7">
        <v>0</v>
      </c>
      <c r="I27" s="7">
        <v>0</v>
      </c>
      <c r="J27" s="7">
        <v>0</v>
      </c>
      <c r="K27" s="7">
        <v>0</v>
      </c>
      <c r="L27" s="7">
        <v>26</v>
      </c>
      <c r="M27" s="7">
        <v>100</v>
      </c>
      <c r="N27" s="7">
        <v>348</v>
      </c>
      <c r="O27" s="7">
        <v>0</v>
      </c>
      <c r="P27" s="7">
        <v>1</v>
      </c>
      <c r="Q27" s="7">
        <v>1</v>
      </c>
      <c r="R27" s="7">
        <v>0</v>
      </c>
      <c r="S27" s="7">
        <v>0</v>
      </c>
      <c r="T27" s="7">
        <v>0</v>
      </c>
      <c r="U27" s="7">
        <v>0</v>
      </c>
      <c r="V27" s="7">
        <v>2</v>
      </c>
      <c r="W27" s="7">
        <v>0</v>
      </c>
      <c r="X27" s="7">
        <v>6</v>
      </c>
      <c r="Y27" s="7">
        <v>0</v>
      </c>
      <c r="Z27" s="7">
        <v>1</v>
      </c>
      <c r="AA27" s="7">
        <v>0</v>
      </c>
      <c r="AB27" s="8">
        <v>0</v>
      </c>
    </row>
    <row r="28" spans="2:28" ht="12.75">
      <c r="B28" s="6" t="s">
        <v>85</v>
      </c>
      <c r="C28" s="7">
        <v>3</v>
      </c>
      <c r="D28" s="7">
        <v>6</v>
      </c>
      <c r="E28" s="23" t="s">
        <v>75</v>
      </c>
      <c r="F28" s="7">
        <v>108</v>
      </c>
      <c r="G28" s="7">
        <v>84</v>
      </c>
      <c r="H28" s="7">
        <v>0</v>
      </c>
      <c r="I28" s="7">
        <v>0</v>
      </c>
      <c r="J28" s="7">
        <v>0</v>
      </c>
      <c r="K28" s="7">
        <v>0</v>
      </c>
      <c r="L28" s="7">
        <v>13</v>
      </c>
      <c r="M28" s="7">
        <v>77</v>
      </c>
      <c r="N28" s="7">
        <v>183</v>
      </c>
      <c r="O28" s="7">
        <v>2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1</v>
      </c>
      <c r="Y28" s="7">
        <v>0</v>
      </c>
      <c r="Z28" s="7">
        <v>0</v>
      </c>
      <c r="AA28" s="7">
        <v>1</v>
      </c>
      <c r="AB28" s="8">
        <v>0</v>
      </c>
    </row>
    <row r="29" spans="2:28" ht="12.75">
      <c r="B29" s="6" t="s">
        <v>85</v>
      </c>
      <c r="C29" s="7">
        <v>3</v>
      </c>
      <c r="D29" s="7">
        <v>6</v>
      </c>
      <c r="E29" s="23" t="s">
        <v>76</v>
      </c>
      <c r="F29" s="7">
        <v>122</v>
      </c>
      <c r="G29" s="7">
        <v>91</v>
      </c>
      <c r="H29" s="7">
        <v>0</v>
      </c>
      <c r="I29" s="7">
        <v>0</v>
      </c>
      <c r="J29" s="7">
        <v>0</v>
      </c>
      <c r="K29" s="7">
        <v>0</v>
      </c>
      <c r="L29" s="7">
        <v>12</v>
      </c>
      <c r="M29" s="7">
        <v>102</v>
      </c>
      <c r="N29" s="7">
        <v>237</v>
      </c>
      <c r="O29" s="7">
        <v>1</v>
      </c>
      <c r="P29" s="7">
        <v>1</v>
      </c>
      <c r="Q29" s="7">
        <v>0</v>
      </c>
      <c r="R29" s="7">
        <v>0</v>
      </c>
      <c r="S29" s="7">
        <v>0</v>
      </c>
      <c r="T29" s="7">
        <v>0</v>
      </c>
      <c r="U29" s="7">
        <v>0</v>
      </c>
      <c r="V29" s="7">
        <v>0</v>
      </c>
      <c r="W29" s="7">
        <v>0</v>
      </c>
      <c r="X29" s="7">
        <v>0</v>
      </c>
      <c r="Y29" s="7">
        <v>1</v>
      </c>
      <c r="Z29" s="7">
        <v>1</v>
      </c>
      <c r="AA29" s="7">
        <v>0</v>
      </c>
      <c r="AB29" s="8">
        <v>0</v>
      </c>
    </row>
    <row r="30" spans="2:28" ht="12.75">
      <c r="B30" s="6" t="s">
        <v>83</v>
      </c>
      <c r="C30" s="7">
        <v>3</v>
      </c>
      <c r="D30" s="7">
        <v>7</v>
      </c>
      <c r="E30" s="23" t="s">
        <v>75</v>
      </c>
      <c r="F30" s="7">
        <v>99</v>
      </c>
      <c r="G30" s="7">
        <v>137</v>
      </c>
      <c r="H30" s="7">
        <v>0</v>
      </c>
      <c r="I30" s="7">
        <v>2</v>
      </c>
      <c r="J30" s="7">
        <v>0</v>
      </c>
      <c r="K30" s="7">
        <v>0</v>
      </c>
      <c r="L30" s="7">
        <v>23</v>
      </c>
      <c r="M30" s="7">
        <v>54</v>
      </c>
      <c r="N30" s="7">
        <v>188</v>
      </c>
      <c r="O30" s="7">
        <v>0</v>
      </c>
      <c r="P30" s="7">
        <v>1</v>
      </c>
      <c r="Q30" s="7">
        <v>1</v>
      </c>
      <c r="R30" s="7">
        <v>1</v>
      </c>
      <c r="S30" s="7">
        <v>2</v>
      </c>
      <c r="T30" s="7">
        <v>0</v>
      </c>
      <c r="U30" s="7">
        <v>0</v>
      </c>
      <c r="V30" s="7">
        <v>0</v>
      </c>
      <c r="W30" s="7">
        <v>0</v>
      </c>
      <c r="X30" s="7">
        <v>1</v>
      </c>
      <c r="Y30" s="7">
        <v>12</v>
      </c>
      <c r="Z30" s="7">
        <v>0</v>
      </c>
      <c r="AA30" s="7">
        <v>0</v>
      </c>
      <c r="AB30" s="8">
        <v>0</v>
      </c>
    </row>
    <row r="31" spans="2:28" ht="12.75">
      <c r="B31" s="6" t="s">
        <v>83</v>
      </c>
      <c r="C31" s="7">
        <v>3</v>
      </c>
      <c r="D31" s="7">
        <v>7</v>
      </c>
      <c r="E31" s="23" t="s">
        <v>76</v>
      </c>
      <c r="F31" s="7">
        <v>121</v>
      </c>
      <c r="G31" s="7">
        <v>160</v>
      </c>
      <c r="H31" s="7">
        <v>0</v>
      </c>
      <c r="I31" s="7">
        <v>1</v>
      </c>
      <c r="J31" s="7">
        <v>0</v>
      </c>
      <c r="K31" s="7">
        <v>0</v>
      </c>
      <c r="L31" s="7">
        <v>21</v>
      </c>
      <c r="M31" s="7">
        <v>64</v>
      </c>
      <c r="N31" s="7">
        <v>227</v>
      </c>
      <c r="O31" s="7">
        <v>0</v>
      </c>
      <c r="P31" s="7">
        <v>1</v>
      </c>
      <c r="Q31" s="7">
        <v>0</v>
      </c>
      <c r="R31" s="7">
        <v>0</v>
      </c>
      <c r="S31" s="7">
        <v>1</v>
      </c>
      <c r="T31" s="7">
        <v>0</v>
      </c>
      <c r="U31" s="7">
        <v>0</v>
      </c>
      <c r="V31" s="7">
        <v>0</v>
      </c>
      <c r="W31" s="7">
        <v>1</v>
      </c>
      <c r="X31" s="7">
        <v>6</v>
      </c>
      <c r="Y31" s="7">
        <v>0</v>
      </c>
      <c r="Z31" s="7">
        <v>0</v>
      </c>
      <c r="AA31" s="7">
        <v>0</v>
      </c>
      <c r="AB31" s="8">
        <v>0</v>
      </c>
    </row>
    <row r="32" spans="2:28" ht="12.75">
      <c r="B32" s="40" t="s">
        <v>86</v>
      </c>
      <c r="C32" s="7">
        <v>3</v>
      </c>
      <c r="D32" s="7">
        <v>8</v>
      </c>
      <c r="E32" s="23" t="s">
        <v>75</v>
      </c>
      <c r="F32" s="7">
        <v>94</v>
      </c>
      <c r="G32" s="7">
        <v>111</v>
      </c>
      <c r="H32" s="7">
        <v>0</v>
      </c>
      <c r="I32" s="7">
        <v>1</v>
      </c>
      <c r="J32" s="7">
        <v>0</v>
      </c>
      <c r="K32" s="7">
        <v>0</v>
      </c>
      <c r="L32" s="7">
        <v>8</v>
      </c>
      <c r="M32" s="7">
        <v>53</v>
      </c>
      <c r="N32" s="7">
        <v>239</v>
      </c>
      <c r="O32" s="7">
        <v>0</v>
      </c>
      <c r="P32" s="7">
        <v>0</v>
      </c>
      <c r="Q32" s="7">
        <v>0</v>
      </c>
      <c r="R32" s="7">
        <v>0</v>
      </c>
      <c r="S32" s="7">
        <v>1</v>
      </c>
      <c r="T32" s="7">
        <v>0</v>
      </c>
      <c r="U32" s="7">
        <v>0</v>
      </c>
      <c r="V32" s="7">
        <v>1</v>
      </c>
      <c r="W32" s="7">
        <v>0</v>
      </c>
      <c r="X32" s="7">
        <v>3</v>
      </c>
      <c r="Y32" s="7">
        <v>0</v>
      </c>
      <c r="Z32" s="7">
        <v>0</v>
      </c>
      <c r="AA32" s="7">
        <v>0</v>
      </c>
      <c r="AB32" s="8">
        <v>1</v>
      </c>
    </row>
    <row r="33" spans="2:28" ht="12.75">
      <c r="B33" s="40" t="s">
        <v>87</v>
      </c>
      <c r="C33" s="7">
        <v>3</v>
      </c>
      <c r="D33" s="7">
        <v>8</v>
      </c>
      <c r="E33" s="23" t="s">
        <v>76</v>
      </c>
      <c r="F33" s="7">
        <v>117</v>
      </c>
      <c r="G33" s="7">
        <v>108</v>
      </c>
      <c r="H33" s="7">
        <v>1</v>
      </c>
      <c r="I33" s="7">
        <v>1</v>
      </c>
      <c r="J33" s="7">
        <v>0</v>
      </c>
      <c r="K33" s="7">
        <v>0</v>
      </c>
      <c r="L33" s="7">
        <v>30</v>
      </c>
      <c r="M33" s="7">
        <v>50</v>
      </c>
      <c r="N33" s="7">
        <v>375</v>
      </c>
      <c r="O33" s="7">
        <v>0</v>
      </c>
      <c r="P33" s="7">
        <v>0</v>
      </c>
      <c r="Q33" s="7">
        <v>0</v>
      </c>
      <c r="R33" s="7">
        <v>0</v>
      </c>
      <c r="S33" s="7">
        <v>1</v>
      </c>
      <c r="T33" s="7">
        <v>0</v>
      </c>
      <c r="U33" s="7">
        <v>0</v>
      </c>
      <c r="V33" s="7">
        <v>2</v>
      </c>
      <c r="W33" s="7">
        <v>1</v>
      </c>
      <c r="X33" s="7">
        <v>0</v>
      </c>
      <c r="Y33" s="7">
        <v>0</v>
      </c>
      <c r="Z33" s="7">
        <v>0</v>
      </c>
      <c r="AA33" s="7">
        <v>0</v>
      </c>
      <c r="AB33" s="8">
        <v>1</v>
      </c>
    </row>
    <row r="34" spans="2:28" ht="12.75">
      <c r="B34" s="6" t="s">
        <v>88</v>
      </c>
      <c r="C34" s="7">
        <v>3</v>
      </c>
      <c r="D34" s="7">
        <v>9</v>
      </c>
      <c r="E34" s="23" t="s">
        <v>78</v>
      </c>
      <c r="F34" s="7">
        <v>99</v>
      </c>
      <c r="G34" s="7">
        <v>94</v>
      </c>
      <c r="H34" s="7">
        <v>0</v>
      </c>
      <c r="I34" s="7">
        <v>0</v>
      </c>
      <c r="J34" s="7">
        <v>0</v>
      </c>
      <c r="K34" s="7">
        <v>0</v>
      </c>
      <c r="L34" s="7">
        <v>33</v>
      </c>
      <c r="M34" s="7">
        <v>63</v>
      </c>
      <c r="N34" s="7">
        <v>134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3</v>
      </c>
      <c r="W34" s="7">
        <v>1</v>
      </c>
      <c r="X34" s="7">
        <v>2</v>
      </c>
      <c r="Y34" s="7">
        <v>0</v>
      </c>
      <c r="Z34" s="7">
        <v>0</v>
      </c>
      <c r="AA34" s="7">
        <v>1</v>
      </c>
      <c r="AB34" s="8">
        <v>0</v>
      </c>
    </row>
    <row r="35" spans="2:28" ht="12.75">
      <c r="B35" s="6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8"/>
    </row>
    <row r="36" spans="2:28" s="5" customFormat="1" ht="12.75">
      <c r="B36" s="9" t="s">
        <v>89</v>
      </c>
      <c r="C36" s="10"/>
      <c r="D36" s="10"/>
      <c r="E36" s="10"/>
      <c r="F36" s="11">
        <v>3024</v>
      </c>
      <c r="G36" s="11">
        <v>2847</v>
      </c>
      <c r="H36" s="10">
        <v>5</v>
      </c>
      <c r="I36" s="10">
        <v>11</v>
      </c>
      <c r="J36" s="10">
        <v>3</v>
      </c>
      <c r="K36" s="10">
        <v>0</v>
      </c>
      <c r="L36" s="10">
        <v>495</v>
      </c>
      <c r="M36" s="11">
        <v>2030</v>
      </c>
      <c r="N36" s="11">
        <v>6175</v>
      </c>
      <c r="O36" s="10">
        <v>5</v>
      </c>
      <c r="P36" s="10">
        <v>7</v>
      </c>
      <c r="Q36" s="10">
        <v>4</v>
      </c>
      <c r="R36" s="10">
        <v>3</v>
      </c>
      <c r="S36" s="10">
        <v>9</v>
      </c>
      <c r="T36" s="10">
        <v>5</v>
      </c>
      <c r="U36" s="10">
        <v>0</v>
      </c>
      <c r="V36" s="10">
        <v>20</v>
      </c>
      <c r="W36" s="10">
        <v>12</v>
      </c>
      <c r="X36" s="10">
        <v>82</v>
      </c>
      <c r="Y36" s="10">
        <v>13</v>
      </c>
      <c r="Z36" s="10">
        <v>3</v>
      </c>
      <c r="AA36" s="10">
        <v>4</v>
      </c>
      <c r="AB36" s="12">
        <v>4</v>
      </c>
    </row>
    <row r="37" spans="2:28" ht="13.5" thickBot="1"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</row>
  </sheetData>
  <sheetProtection/>
  <mergeCells count="3">
    <mergeCell ref="B4:D4"/>
    <mergeCell ref="B1:U1"/>
    <mergeCell ref="B3:V3"/>
  </mergeCells>
  <printOptions/>
  <pageMargins left="0.4" right="0.5" top="1.13" bottom="1" header="0" footer="0"/>
  <pageSetup fitToHeight="1" fitToWidth="1" horizontalDpi="300" verticalDpi="3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8"/>
  <sheetViews>
    <sheetView zoomScalePageLayoutView="0" workbookViewId="0" topLeftCell="L1">
      <selection activeCell="AH8" sqref="AH8"/>
    </sheetView>
  </sheetViews>
  <sheetFormatPr defaultColWidth="11.421875" defaultRowHeight="12.75"/>
  <cols>
    <col min="1" max="1" width="2.7109375" style="0" customWidth="1"/>
    <col min="2" max="2" width="33.140625" style="0" customWidth="1"/>
    <col min="3" max="3" width="8.57421875" style="0" customWidth="1"/>
    <col min="4" max="4" width="7.7109375" style="0" customWidth="1"/>
    <col min="5" max="5" width="5.421875" style="0" customWidth="1"/>
    <col min="6" max="6" width="6.71093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1" width="8.00390625" style="0" customWidth="1"/>
    <col min="12" max="12" width="4.8515625" style="0" customWidth="1"/>
    <col min="13" max="13" width="6.28125" style="0" customWidth="1"/>
    <col min="14" max="14" width="6.8515625" style="0" customWidth="1"/>
    <col min="15" max="15" width="6.140625" style="0" customWidth="1"/>
    <col min="16" max="16" width="4.140625" style="0" customWidth="1"/>
    <col min="17" max="17" width="7.00390625" style="0" customWidth="1"/>
    <col min="18" max="18" width="9.28125" style="0" customWidth="1"/>
    <col min="19" max="19" width="9.140625" style="0" customWidth="1"/>
    <col min="20" max="20" width="5.421875" style="0" customWidth="1"/>
    <col min="21" max="21" width="5.28125" style="0" customWidth="1"/>
    <col min="22" max="22" width="5.00390625" style="0" customWidth="1"/>
    <col min="23" max="23" width="5.57421875" style="0" customWidth="1"/>
    <col min="24" max="24" width="5.140625" style="0" customWidth="1"/>
    <col min="25" max="25" width="5.57421875" style="0" customWidth="1"/>
    <col min="26" max="26" width="6.00390625" style="0" customWidth="1"/>
    <col min="27" max="27" width="4.8515625" style="0" customWidth="1"/>
    <col min="28" max="28" width="6.7109375" style="0" customWidth="1"/>
    <col min="29" max="29" width="4.00390625" style="0" customWidth="1"/>
    <col min="30" max="30" width="6.8515625" style="0" customWidth="1"/>
    <col min="31" max="31" width="5.57421875" style="0" customWidth="1"/>
    <col min="32" max="32" width="4.7109375" style="0" customWidth="1"/>
    <col min="33" max="33" width="4.28125" style="0" customWidth="1"/>
    <col min="34" max="34" width="8.28125" style="0" customWidth="1"/>
  </cols>
  <sheetData>
    <row r="1" spans="1:17" ht="18" customHeight="1">
      <c r="A1" s="1"/>
      <c r="B1" s="150" t="s">
        <v>154</v>
      </c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2"/>
      <c r="O1" s="2"/>
      <c r="P1" s="2"/>
      <c r="Q1" s="2"/>
    </row>
    <row r="2" spans="1:17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148"/>
      <c r="M3" s="148"/>
      <c r="N3" s="148"/>
      <c r="O3" s="2"/>
      <c r="P3" s="2"/>
      <c r="Q3" s="2"/>
    </row>
    <row r="4" spans="1:17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34" ht="26.25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55" t="s">
        <v>104</v>
      </c>
      <c r="G6" s="55" t="s">
        <v>23</v>
      </c>
      <c r="H6" s="55" t="s">
        <v>17</v>
      </c>
      <c r="I6" s="55" t="s">
        <v>105</v>
      </c>
      <c r="J6" s="55" t="s">
        <v>106</v>
      </c>
      <c r="K6" s="55" t="s">
        <v>107</v>
      </c>
      <c r="L6" s="55" t="s">
        <v>108</v>
      </c>
      <c r="M6" s="55" t="s">
        <v>7</v>
      </c>
      <c r="N6" s="55" t="s">
        <v>109</v>
      </c>
      <c r="O6" s="55" t="s">
        <v>110</v>
      </c>
      <c r="P6" s="55" t="s">
        <v>111</v>
      </c>
      <c r="Q6" s="55" t="s">
        <v>112</v>
      </c>
      <c r="R6" s="55" t="s">
        <v>113</v>
      </c>
      <c r="S6" s="55" t="s">
        <v>114</v>
      </c>
      <c r="T6" s="55" t="s">
        <v>115</v>
      </c>
      <c r="U6" s="55" t="s">
        <v>116</v>
      </c>
      <c r="V6" s="55" t="s">
        <v>117</v>
      </c>
      <c r="W6" s="55" t="s">
        <v>118</v>
      </c>
      <c r="X6" s="55" t="s">
        <v>119</v>
      </c>
      <c r="Y6" s="55" t="s">
        <v>120</v>
      </c>
      <c r="Z6" s="55" t="s">
        <v>121</v>
      </c>
      <c r="AA6" s="55" t="s">
        <v>122</v>
      </c>
      <c r="AB6" s="55" t="s">
        <v>123</v>
      </c>
      <c r="AC6" s="55" t="s">
        <v>124</v>
      </c>
      <c r="AD6" s="55" t="s">
        <v>125</v>
      </c>
      <c r="AE6" s="55" t="s">
        <v>126</v>
      </c>
      <c r="AF6" s="55" t="s">
        <v>127</v>
      </c>
      <c r="AG6" s="56" t="s">
        <v>128</v>
      </c>
      <c r="AH6" s="56" t="s">
        <v>155</v>
      </c>
    </row>
    <row r="7" spans="1:34" ht="12.75">
      <c r="A7" s="30"/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49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46"/>
    </row>
    <row r="8" spans="2:34" ht="12.75">
      <c r="B8" s="45" t="s">
        <v>91</v>
      </c>
      <c r="C8" s="7">
        <v>1</v>
      </c>
      <c r="D8" s="7">
        <v>1</v>
      </c>
      <c r="E8" s="58" t="s">
        <v>75</v>
      </c>
      <c r="F8" s="7">
        <v>98</v>
      </c>
      <c r="G8" s="41">
        <v>0</v>
      </c>
      <c r="H8" s="41">
        <v>0</v>
      </c>
      <c r="I8" s="41">
        <v>3</v>
      </c>
      <c r="J8" s="41">
        <v>12</v>
      </c>
      <c r="K8" s="41">
        <v>0</v>
      </c>
      <c r="L8" s="41">
        <v>1</v>
      </c>
      <c r="M8" s="41">
        <v>88</v>
      </c>
      <c r="N8" s="41">
        <v>200</v>
      </c>
      <c r="O8" s="41">
        <v>1</v>
      </c>
      <c r="P8" s="41">
        <v>2</v>
      </c>
      <c r="Q8" s="7">
        <v>0</v>
      </c>
      <c r="R8" s="41">
        <v>25</v>
      </c>
      <c r="S8" s="41">
        <v>0</v>
      </c>
      <c r="T8" s="41">
        <v>0</v>
      </c>
      <c r="U8" s="41">
        <v>0</v>
      </c>
      <c r="V8" s="41">
        <v>1</v>
      </c>
      <c r="W8" s="41">
        <v>0</v>
      </c>
      <c r="X8" s="41">
        <v>0</v>
      </c>
      <c r="Y8" s="41">
        <v>0</v>
      </c>
      <c r="Z8" s="41">
        <v>1</v>
      </c>
      <c r="AA8" s="41">
        <v>0</v>
      </c>
      <c r="AB8" s="41">
        <v>0</v>
      </c>
      <c r="AC8" s="41">
        <v>0</v>
      </c>
      <c r="AD8" s="41">
        <v>0</v>
      </c>
      <c r="AE8" s="41">
        <v>0</v>
      </c>
      <c r="AF8" s="41">
        <v>0</v>
      </c>
      <c r="AG8" s="41">
        <v>2</v>
      </c>
      <c r="AH8" s="48">
        <f>SUM(F8:AG8)</f>
        <v>434</v>
      </c>
    </row>
    <row r="9" spans="2:34" ht="12.75">
      <c r="B9" s="45" t="s">
        <v>91</v>
      </c>
      <c r="C9" s="7">
        <v>1</v>
      </c>
      <c r="D9" s="7">
        <v>1</v>
      </c>
      <c r="E9" s="58" t="s">
        <v>76</v>
      </c>
      <c r="F9" s="57">
        <v>108</v>
      </c>
      <c r="G9" s="57">
        <v>0</v>
      </c>
      <c r="H9" s="57">
        <v>0</v>
      </c>
      <c r="I9" s="57">
        <v>2</v>
      </c>
      <c r="J9" s="57">
        <v>16</v>
      </c>
      <c r="K9" s="57">
        <v>1</v>
      </c>
      <c r="L9" s="57">
        <v>0</v>
      </c>
      <c r="M9" s="57">
        <v>98</v>
      </c>
      <c r="N9" s="57">
        <v>232</v>
      </c>
      <c r="O9" s="57">
        <v>1</v>
      </c>
      <c r="P9" s="57">
        <v>0</v>
      </c>
      <c r="Q9" s="57">
        <v>0</v>
      </c>
      <c r="R9" s="57">
        <v>32</v>
      </c>
      <c r="S9" s="57">
        <v>0</v>
      </c>
      <c r="T9" s="57">
        <v>0</v>
      </c>
      <c r="U9" s="57">
        <v>0</v>
      </c>
      <c r="V9" s="57">
        <v>1</v>
      </c>
      <c r="W9" s="57">
        <v>0</v>
      </c>
      <c r="X9" s="57">
        <v>0</v>
      </c>
      <c r="Y9" s="57">
        <v>0</v>
      </c>
      <c r="Z9" s="57">
        <v>0</v>
      </c>
      <c r="AA9" s="57">
        <v>0</v>
      </c>
      <c r="AB9" s="57">
        <v>0</v>
      </c>
      <c r="AC9" s="57">
        <v>0</v>
      </c>
      <c r="AD9" s="57">
        <v>1</v>
      </c>
      <c r="AE9" s="57">
        <v>0</v>
      </c>
      <c r="AF9" s="57">
        <v>0</v>
      </c>
      <c r="AG9" s="57">
        <v>1</v>
      </c>
      <c r="AH9" s="48">
        <f aca="true" t="shared" si="0" ref="AH9:AH44">SUM(F9:AG9)</f>
        <v>493</v>
      </c>
    </row>
    <row r="10" spans="2:34" ht="12.75">
      <c r="B10" s="45" t="s">
        <v>91</v>
      </c>
      <c r="C10" s="7">
        <v>1</v>
      </c>
      <c r="D10" s="7">
        <v>1</v>
      </c>
      <c r="E10" s="58" t="s">
        <v>92</v>
      </c>
      <c r="F10" s="57">
        <v>132</v>
      </c>
      <c r="G10" s="57">
        <v>0</v>
      </c>
      <c r="H10" s="57">
        <v>0</v>
      </c>
      <c r="I10" s="57">
        <v>2</v>
      </c>
      <c r="J10" s="57">
        <v>9</v>
      </c>
      <c r="K10" s="57">
        <v>0</v>
      </c>
      <c r="L10" s="57">
        <v>0</v>
      </c>
      <c r="M10" s="57">
        <v>91</v>
      </c>
      <c r="N10" s="57">
        <v>224</v>
      </c>
      <c r="O10" s="57">
        <v>0</v>
      </c>
      <c r="P10" s="57">
        <v>0</v>
      </c>
      <c r="Q10" s="57">
        <v>0</v>
      </c>
      <c r="R10" s="57">
        <v>23</v>
      </c>
      <c r="S10" s="57">
        <v>1</v>
      </c>
      <c r="T10" s="57">
        <v>0</v>
      </c>
      <c r="U10" s="57">
        <v>1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1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48">
        <f t="shared" si="0"/>
        <v>484</v>
      </c>
    </row>
    <row r="11" spans="2:34" ht="12.75">
      <c r="B11" s="45" t="s">
        <v>93</v>
      </c>
      <c r="C11" s="7">
        <v>1</v>
      </c>
      <c r="D11" s="7">
        <v>2</v>
      </c>
      <c r="E11" s="58" t="s">
        <v>78</v>
      </c>
      <c r="F11" s="57">
        <v>155</v>
      </c>
      <c r="G11" s="57">
        <v>0</v>
      </c>
      <c r="H11" s="57">
        <v>1</v>
      </c>
      <c r="I11" s="57">
        <v>2</v>
      </c>
      <c r="J11" s="57">
        <v>20</v>
      </c>
      <c r="K11" s="57">
        <v>0</v>
      </c>
      <c r="L11" s="57">
        <v>1</v>
      </c>
      <c r="M11" s="57">
        <v>61</v>
      </c>
      <c r="N11" s="57">
        <v>201</v>
      </c>
      <c r="O11" s="57">
        <v>0</v>
      </c>
      <c r="P11" s="57">
        <v>0</v>
      </c>
      <c r="Q11" s="57">
        <v>0</v>
      </c>
      <c r="R11" s="57">
        <v>53</v>
      </c>
      <c r="S11" s="57">
        <v>1</v>
      </c>
      <c r="T11" s="57">
        <v>1</v>
      </c>
      <c r="U11" s="57">
        <v>1</v>
      </c>
      <c r="V11" s="57">
        <v>2</v>
      </c>
      <c r="W11" s="57">
        <v>0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3</v>
      </c>
      <c r="AH11" s="48">
        <f t="shared" si="0"/>
        <v>502</v>
      </c>
    </row>
    <row r="12" spans="2:34" ht="12.75">
      <c r="B12" s="45" t="s">
        <v>94</v>
      </c>
      <c r="C12" s="7">
        <v>2</v>
      </c>
      <c r="D12" s="7">
        <v>1</v>
      </c>
      <c r="E12" s="58" t="s">
        <v>78</v>
      </c>
      <c r="F12" s="57">
        <v>149</v>
      </c>
      <c r="G12" s="57">
        <v>0</v>
      </c>
      <c r="H12" s="57">
        <v>0</v>
      </c>
      <c r="I12" s="57">
        <v>0</v>
      </c>
      <c r="J12" s="57">
        <v>11</v>
      </c>
      <c r="K12" s="57">
        <v>0</v>
      </c>
      <c r="L12" s="57">
        <v>0</v>
      </c>
      <c r="M12" s="57">
        <v>82</v>
      </c>
      <c r="N12" s="57">
        <v>208</v>
      </c>
      <c r="O12" s="57">
        <v>0</v>
      </c>
      <c r="P12" s="57">
        <v>0</v>
      </c>
      <c r="Q12" s="57">
        <v>2</v>
      </c>
      <c r="R12" s="57">
        <v>46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0</v>
      </c>
      <c r="AC12" s="57">
        <v>0</v>
      </c>
      <c r="AD12" s="57">
        <v>0</v>
      </c>
      <c r="AE12" s="57">
        <v>2</v>
      </c>
      <c r="AF12" s="57">
        <v>0</v>
      </c>
      <c r="AG12" s="57">
        <v>1</v>
      </c>
      <c r="AH12" s="48">
        <f t="shared" si="0"/>
        <v>501</v>
      </c>
    </row>
    <row r="13" spans="2:34" ht="12.75">
      <c r="B13" s="45" t="s">
        <v>94</v>
      </c>
      <c r="C13" s="7">
        <v>2</v>
      </c>
      <c r="D13" s="7">
        <v>2</v>
      </c>
      <c r="E13" s="58" t="s">
        <v>75</v>
      </c>
      <c r="F13" s="57">
        <v>77</v>
      </c>
      <c r="G13" s="57">
        <v>1</v>
      </c>
      <c r="H13" s="57">
        <v>0</v>
      </c>
      <c r="I13" s="57">
        <v>0</v>
      </c>
      <c r="J13" s="57">
        <v>7</v>
      </c>
      <c r="K13" s="57">
        <v>1</v>
      </c>
      <c r="L13" s="57">
        <v>0</v>
      </c>
      <c r="M13" s="57">
        <v>59</v>
      </c>
      <c r="N13" s="57">
        <v>168</v>
      </c>
      <c r="O13" s="57">
        <v>0</v>
      </c>
      <c r="P13" s="57">
        <v>0</v>
      </c>
      <c r="Q13" s="57">
        <v>0</v>
      </c>
      <c r="R13" s="57">
        <v>30</v>
      </c>
      <c r="S13" s="57">
        <v>0</v>
      </c>
      <c r="T13" s="57">
        <v>0</v>
      </c>
      <c r="U13" s="57">
        <v>0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48">
        <f t="shared" si="0"/>
        <v>343</v>
      </c>
    </row>
    <row r="14" spans="2:34" ht="12.75">
      <c r="B14" s="45" t="s">
        <v>94</v>
      </c>
      <c r="C14" s="7">
        <v>2</v>
      </c>
      <c r="D14" s="7">
        <v>2</v>
      </c>
      <c r="E14" s="58" t="s">
        <v>76</v>
      </c>
      <c r="F14" s="57">
        <v>115</v>
      </c>
      <c r="G14" s="57">
        <v>0</v>
      </c>
      <c r="H14" s="57">
        <v>1</v>
      </c>
      <c r="I14" s="57">
        <v>2</v>
      </c>
      <c r="J14" s="57">
        <v>9</v>
      </c>
      <c r="K14" s="57">
        <v>1</v>
      </c>
      <c r="L14" s="57">
        <v>1</v>
      </c>
      <c r="M14" s="57">
        <v>72</v>
      </c>
      <c r="N14" s="57">
        <v>218</v>
      </c>
      <c r="O14" s="57">
        <v>0</v>
      </c>
      <c r="P14" s="57">
        <v>0</v>
      </c>
      <c r="Q14" s="57">
        <v>0</v>
      </c>
      <c r="R14" s="57">
        <v>45</v>
      </c>
      <c r="S14" s="57">
        <v>0</v>
      </c>
      <c r="T14" s="57">
        <v>1</v>
      </c>
      <c r="U14" s="57">
        <v>0</v>
      </c>
      <c r="V14" s="57">
        <v>1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48">
        <f t="shared" si="0"/>
        <v>466</v>
      </c>
    </row>
    <row r="15" spans="2:34" ht="12.75">
      <c r="B15" s="45" t="s">
        <v>91</v>
      </c>
      <c r="C15" s="7">
        <v>2</v>
      </c>
      <c r="D15" s="7">
        <v>3</v>
      </c>
      <c r="E15" s="58" t="s">
        <v>75</v>
      </c>
      <c r="F15" s="57">
        <v>52</v>
      </c>
      <c r="G15" s="57">
        <v>0</v>
      </c>
      <c r="H15" s="57">
        <v>0</v>
      </c>
      <c r="I15" s="57">
        <v>2</v>
      </c>
      <c r="J15" s="57">
        <v>12</v>
      </c>
      <c r="K15" s="57">
        <v>1</v>
      </c>
      <c r="L15" s="57">
        <v>0</v>
      </c>
      <c r="M15" s="57">
        <v>85</v>
      </c>
      <c r="N15" s="57">
        <v>157</v>
      </c>
      <c r="O15" s="57">
        <v>0</v>
      </c>
      <c r="P15" s="57">
        <v>0</v>
      </c>
      <c r="Q15" s="57">
        <v>0</v>
      </c>
      <c r="R15" s="57">
        <v>19</v>
      </c>
      <c r="S15" s="57">
        <v>1</v>
      </c>
      <c r="T15" s="57">
        <v>0</v>
      </c>
      <c r="U15" s="57">
        <v>0</v>
      </c>
      <c r="V15" s="57">
        <v>0</v>
      </c>
      <c r="W15" s="57">
        <v>0</v>
      </c>
      <c r="X15" s="57">
        <v>1</v>
      </c>
      <c r="Y15" s="57">
        <v>0</v>
      </c>
      <c r="Z15" s="57">
        <v>0</v>
      </c>
      <c r="AA15" s="57">
        <v>1</v>
      </c>
      <c r="AB15" s="57">
        <v>0</v>
      </c>
      <c r="AC15" s="57">
        <v>0</v>
      </c>
      <c r="AD15" s="57">
        <v>0</v>
      </c>
      <c r="AE15" s="57">
        <v>0</v>
      </c>
      <c r="AF15" s="57">
        <v>0</v>
      </c>
      <c r="AG15" s="57">
        <v>1</v>
      </c>
      <c r="AH15" s="48">
        <f t="shared" si="0"/>
        <v>332</v>
      </c>
    </row>
    <row r="16" spans="2:34" ht="12.75">
      <c r="B16" s="45" t="s">
        <v>91</v>
      </c>
      <c r="C16" s="7">
        <v>2</v>
      </c>
      <c r="D16" s="7">
        <v>3</v>
      </c>
      <c r="E16" s="58" t="s">
        <v>76</v>
      </c>
      <c r="F16" s="57">
        <v>53</v>
      </c>
      <c r="G16" s="57">
        <v>0</v>
      </c>
      <c r="H16" s="57">
        <v>0</v>
      </c>
      <c r="I16" s="57">
        <v>1</v>
      </c>
      <c r="J16" s="57">
        <v>5</v>
      </c>
      <c r="K16" s="57">
        <v>0</v>
      </c>
      <c r="L16" s="57">
        <v>0</v>
      </c>
      <c r="M16" s="57">
        <v>71</v>
      </c>
      <c r="N16" s="57">
        <v>190</v>
      </c>
      <c r="O16" s="57">
        <v>0</v>
      </c>
      <c r="P16" s="57">
        <v>0</v>
      </c>
      <c r="Q16" s="57">
        <v>1</v>
      </c>
      <c r="R16" s="57">
        <v>15</v>
      </c>
      <c r="S16" s="57">
        <v>0</v>
      </c>
      <c r="T16" s="57">
        <v>1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1</v>
      </c>
      <c r="AF16" s="57">
        <v>0</v>
      </c>
      <c r="AG16" s="57">
        <v>3</v>
      </c>
      <c r="AH16" s="48">
        <f t="shared" si="0"/>
        <v>341</v>
      </c>
    </row>
    <row r="17" spans="2:34" ht="12.75">
      <c r="B17" s="45" t="s">
        <v>91</v>
      </c>
      <c r="C17" s="7">
        <v>2</v>
      </c>
      <c r="D17" s="7">
        <v>3</v>
      </c>
      <c r="E17" s="58" t="s">
        <v>92</v>
      </c>
      <c r="F17" s="57">
        <v>60</v>
      </c>
      <c r="G17" s="57">
        <v>0</v>
      </c>
      <c r="H17" s="57">
        <v>0</v>
      </c>
      <c r="I17" s="57">
        <v>5</v>
      </c>
      <c r="J17" s="57">
        <v>9</v>
      </c>
      <c r="K17" s="57">
        <v>0</v>
      </c>
      <c r="L17" s="57">
        <v>1</v>
      </c>
      <c r="M17" s="57">
        <v>72</v>
      </c>
      <c r="N17" s="57">
        <v>196</v>
      </c>
      <c r="O17" s="57">
        <v>0</v>
      </c>
      <c r="P17" s="57">
        <v>1</v>
      </c>
      <c r="Q17" s="57">
        <v>0</v>
      </c>
      <c r="R17" s="57">
        <v>29</v>
      </c>
      <c r="S17" s="57">
        <v>1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2</v>
      </c>
      <c r="AG17" s="57">
        <v>0</v>
      </c>
      <c r="AH17" s="48">
        <f t="shared" si="0"/>
        <v>376</v>
      </c>
    </row>
    <row r="18" spans="2:34" ht="12.75">
      <c r="B18" s="45" t="s">
        <v>95</v>
      </c>
      <c r="C18" s="7">
        <v>2</v>
      </c>
      <c r="D18" s="7">
        <v>4</v>
      </c>
      <c r="E18" s="58" t="s">
        <v>75</v>
      </c>
      <c r="F18" s="57">
        <v>77</v>
      </c>
      <c r="G18" s="57">
        <v>0</v>
      </c>
      <c r="H18" s="57">
        <v>0</v>
      </c>
      <c r="I18" s="57">
        <v>0</v>
      </c>
      <c r="J18" s="57">
        <v>12</v>
      </c>
      <c r="K18" s="57">
        <v>0</v>
      </c>
      <c r="L18" s="57">
        <v>0</v>
      </c>
      <c r="M18" s="57">
        <v>79</v>
      </c>
      <c r="N18" s="57">
        <v>198</v>
      </c>
      <c r="O18" s="57">
        <v>0</v>
      </c>
      <c r="P18" s="57">
        <v>0</v>
      </c>
      <c r="Q18" s="57">
        <v>1</v>
      </c>
      <c r="R18" s="57">
        <v>20</v>
      </c>
      <c r="S18" s="57">
        <v>0</v>
      </c>
      <c r="T18" s="57">
        <v>0</v>
      </c>
      <c r="U18" s="57">
        <v>0</v>
      </c>
      <c r="V18" s="57">
        <v>0</v>
      </c>
      <c r="W18" s="57">
        <v>1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57">
        <v>0</v>
      </c>
      <c r="AG18" s="57">
        <v>1</v>
      </c>
      <c r="AH18" s="48">
        <f t="shared" si="0"/>
        <v>389</v>
      </c>
    </row>
    <row r="19" spans="2:34" ht="12.75">
      <c r="B19" s="45" t="s">
        <v>95</v>
      </c>
      <c r="C19" s="7">
        <v>2</v>
      </c>
      <c r="D19" s="7">
        <v>4</v>
      </c>
      <c r="E19" s="58" t="s">
        <v>76</v>
      </c>
      <c r="F19" s="57">
        <v>102</v>
      </c>
      <c r="G19" s="57">
        <v>0</v>
      </c>
      <c r="H19" s="57">
        <v>0</v>
      </c>
      <c r="I19" s="57">
        <v>1</v>
      </c>
      <c r="J19" s="57">
        <v>16</v>
      </c>
      <c r="K19" s="57">
        <v>0</v>
      </c>
      <c r="L19" s="57">
        <v>0</v>
      </c>
      <c r="M19" s="57">
        <v>97</v>
      </c>
      <c r="N19" s="57">
        <v>229</v>
      </c>
      <c r="O19" s="57">
        <v>1</v>
      </c>
      <c r="P19" s="57">
        <v>1</v>
      </c>
      <c r="Q19" s="57">
        <v>1</v>
      </c>
      <c r="R19" s="57">
        <v>17</v>
      </c>
      <c r="S19" s="57">
        <v>0</v>
      </c>
      <c r="T19" s="57">
        <v>0</v>
      </c>
      <c r="U19" s="57">
        <v>1</v>
      </c>
      <c r="V19" s="57">
        <v>1</v>
      </c>
      <c r="W19" s="57">
        <v>1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2</v>
      </c>
      <c r="AG19" s="57">
        <v>2</v>
      </c>
      <c r="AH19" s="48">
        <f t="shared" si="0"/>
        <v>472</v>
      </c>
    </row>
    <row r="20" spans="2:34" ht="12.75">
      <c r="B20" s="45" t="s">
        <v>96</v>
      </c>
      <c r="C20" s="7">
        <v>2</v>
      </c>
      <c r="D20" s="7">
        <v>5</v>
      </c>
      <c r="E20" s="58" t="s">
        <v>75</v>
      </c>
      <c r="F20" s="57">
        <v>45</v>
      </c>
      <c r="G20" s="57">
        <v>0</v>
      </c>
      <c r="H20" s="57">
        <v>0</v>
      </c>
      <c r="I20" s="57">
        <v>0</v>
      </c>
      <c r="J20" s="57">
        <v>12</v>
      </c>
      <c r="K20" s="57">
        <v>0</v>
      </c>
      <c r="L20" s="57">
        <v>0</v>
      </c>
      <c r="M20" s="57">
        <v>92</v>
      </c>
      <c r="N20" s="57">
        <v>182</v>
      </c>
      <c r="O20" s="57">
        <v>0</v>
      </c>
      <c r="P20" s="57">
        <v>0</v>
      </c>
      <c r="Q20" s="57">
        <v>0</v>
      </c>
      <c r="R20" s="57">
        <v>17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1</v>
      </c>
      <c r="AF20" s="57">
        <v>0</v>
      </c>
      <c r="AG20" s="57">
        <v>2</v>
      </c>
      <c r="AH20" s="48">
        <f t="shared" si="0"/>
        <v>351</v>
      </c>
    </row>
    <row r="21" spans="2:34" ht="12.75">
      <c r="B21" s="45" t="s">
        <v>96</v>
      </c>
      <c r="C21" s="7">
        <v>2</v>
      </c>
      <c r="D21" s="7">
        <v>5</v>
      </c>
      <c r="E21" s="58" t="s">
        <v>76</v>
      </c>
      <c r="F21" s="57">
        <v>52</v>
      </c>
      <c r="G21" s="57">
        <v>1</v>
      </c>
      <c r="H21" s="57">
        <v>0</v>
      </c>
      <c r="I21" s="57">
        <v>0</v>
      </c>
      <c r="J21" s="57">
        <v>9</v>
      </c>
      <c r="K21" s="57">
        <v>1</v>
      </c>
      <c r="L21" s="57">
        <v>2</v>
      </c>
      <c r="M21" s="57">
        <v>117</v>
      </c>
      <c r="N21" s="57">
        <v>205</v>
      </c>
      <c r="O21" s="57">
        <v>0</v>
      </c>
      <c r="P21" s="57">
        <v>0</v>
      </c>
      <c r="Q21" s="57">
        <v>0</v>
      </c>
      <c r="R21" s="57">
        <v>10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0</v>
      </c>
      <c r="AG21" s="57">
        <v>1</v>
      </c>
      <c r="AH21" s="48">
        <f t="shared" si="0"/>
        <v>398</v>
      </c>
    </row>
    <row r="22" spans="2:34" ht="12.75">
      <c r="B22" s="45" t="s">
        <v>96</v>
      </c>
      <c r="C22" s="7">
        <v>2</v>
      </c>
      <c r="D22" s="7">
        <v>5</v>
      </c>
      <c r="E22" s="58" t="s">
        <v>92</v>
      </c>
      <c r="F22" s="57">
        <v>49</v>
      </c>
      <c r="G22" s="57">
        <v>0</v>
      </c>
      <c r="H22" s="57">
        <v>3</v>
      </c>
      <c r="I22" s="57">
        <v>1</v>
      </c>
      <c r="J22" s="57">
        <v>8</v>
      </c>
      <c r="K22" s="57">
        <v>1</v>
      </c>
      <c r="L22" s="57">
        <v>1</v>
      </c>
      <c r="M22" s="57">
        <v>98</v>
      </c>
      <c r="N22" s="57">
        <v>208</v>
      </c>
      <c r="O22" s="57">
        <v>0</v>
      </c>
      <c r="P22" s="57">
        <v>0</v>
      </c>
      <c r="Q22" s="57">
        <v>1</v>
      </c>
      <c r="R22" s="57">
        <v>21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4</v>
      </c>
      <c r="AH22" s="48">
        <f t="shared" si="0"/>
        <v>395</v>
      </c>
    </row>
    <row r="23" spans="2:34" ht="12.75">
      <c r="B23" s="45" t="s">
        <v>97</v>
      </c>
      <c r="C23" s="7">
        <v>3</v>
      </c>
      <c r="D23" s="7">
        <v>1</v>
      </c>
      <c r="E23" s="58" t="s">
        <v>75</v>
      </c>
      <c r="F23" s="57">
        <v>66</v>
      </c>
      <c r="G23" s="57">
        <v>0</v>
      </c>
      <c r="H23" s="57">
        <v>1</v>
      </c>
      <c r="I23" s="57">
        <v>1</v>
      </c>
      <c r="J23" s="57">
        <v>13</v>
      </c>
      <c r="K23" s="57">
        <v>0</v>
      </c>
      <c r="L23" s="57">
        <v>0</v>
      </c>
      <c r="M23" s="57">
        <v>61</v>
      </c>
      <c r="N23" s="57">
        <v>171</v>
      </c>
      <c r="O23" s="57">
        <v>1</v>
      </c>
      <c r="P23" s="57">
        <v>0</v>
      </c>
      <c r="Q23" s="57">
        <v>0</v>
      </c>
      <c r="R23" s="57">
        <v>31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48">
        <f t="shared" si="0"/>
        <v>345</v>
      </c>
    </row>
    <row r="24" spans="2:34" ht="12.75">
      <c r="B24" s="45" t="s">
        <v>97</v>
      </c>
      <c r="C24" s="7">
        <v>3</v>
      </c>
      <c r="D24" s="7">
        <v>1</v>
      </c>
      <c r="E24" s="58" t="s">
        <v>76</v>
      </c>
      <c r="F24" s="57">
        <v>94</v>
      </c>
      <c r="G24" s="57">
        <v>0</v>
      </c>
      <c r="H24" s="57">
        <v>0</v>
      </c>
      <c r="I24" s="57">
        <v>1</v>
      </c>
      <c r="J24" s="57">
        <v>8</v>
      </c>
      <c r="K24" s="57">
        <v>1</v>
      </c>
      <c r="L24" s="57">
        <v>0</v>
      </c>
      <c r="M24" s="57">
        <v>64</v>
      </c>
      <c r="N24" s="57">
        <v>239</v>
      </c>
      <c r="O24" s="57">
        <v>0</v>
      </c>
      <c r="P24" s="57">
        <v>1</v>
      </c>
      <c r="Q24" s="57">
        <v>2</v>
      </c>
      <c r="R24" s="57">
        <v>31</v>
      </c>
      <c r="S24" s="57">
        <v>0</v>
      </c>
      <c r="T24" s="57">
        <v>0</v>
      </c>
      <c r="U24" s="57">
        <v>1</v>
      </c>
      <c r="V24" s="57">
        <v>0</v>
      </c>
      <c r="W24" s="57">
        <v>0</v>
      </c>
      <c r="X24" s="57">
        <v>0</v>
      </c>
      <c r="Y24" s="57">
        <v>0</v>
      </c>
      <c r="Z24" s="57">
        <v>1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2</v>
      </c>
      <c r="AH24" s="48">
        <f t="shared" si="0"/>
        <v>445</v>
      </c>
    </row>
    <row r="25" spans="2:34" ht="12.75">
      <c r="B25" s="45" t="s">
        <v>98</v>
      </c>
      <c r="C25" s="7">
        <v>3</v>
      </c>
      <c r="D25" s="7">
        <v>2</v>
      </c>
      <c r="E25" s="58" t="s">
        <v>75</v>
      </c>
      <c r="F25" s="57">
        <v>57</v>
      </c>
      <c r="G25" s="57">
        <v>0</v>
      </c>
      <c r="H25" s="57">
        <v>0</v>
      </c>
      <c r="I25" s="57">
        <v>0</v>
      </c>
      <c r="J25" s="57">
        <v>10</v>
      </c>
      <c r="K25" s="57">
        <v>0</v>
      </c>
      <c r="L25" s="57">
        <v>0</v>
      </c>
      <c r="M25" s="57">
        <v>68</v>
      </c>
      <c r="N25" s="57">
        <v>185</v>
      </c>
      <c r="O25" s="57">
        <v>1</v>
      </c>
      <c r="P25" s="57">
        <v>2</v>
      </c>
      <c r="Q25" s="57">
        <v>0</v>
      </c>
      <c r="R25" s="57">
        <v>11</v>
      </c>
      <c r="S25" s="57">
        <v>0</v>
      </c>
      <c r="T25" s="57">
        <v>0</v>
      </c>
      <c r="U25" s="57">
        <v>3</v>
      </c>
      <c r="V25" s="57">
        <v>1</v>
      </c>
      <c r="W25" s="57">
        <v>3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3</v>
      </c>
      <c r="AH25" s="48">
        <f t="shared" si="0"/>
        <v>344</v>
      </c>
    </row>
    <row r="26" spans="2:34" ht="12.75">
      <c r="B26" s="45" t="s">
        <v>98</v>
      </c>
      <c r="C26" s="7">
        <v>3</v>
      </c>
      <c r="D26" s="7">
        <v>2</v>
      </c>
      <c r="E26" s="58" t="s">
        <v>76</v>
      </c>
      <c r="F26" s="57">
        <v>61</v>
      </c>
      <c r="G26" s="57">
        <v>0</v>
      </c>
      <c r="H26" s="57">
        <v>1</v>
      </c>
      <c r="I26" s="57">
        <v>1</v>
      </c>
      <c r="J26" s="57">
        <v>16</v>
      </c>
      <c r="K26" s="57">
        <v>0</v>
      </c>
      <c r="L26" s="57">
        <v>0</v>
      </c>
      <c r="M26" s="57">
        <v>85</v>
      </c>
      <c r="N26" s="57">
        <v>218</v>
      </c>
      <c r="O26" s="57">
        <v>0</v>
      </c>
      <c r="P26" s="57">
        <v>1</v>
      </c>
      <c r="Q26" s="57">
        <v>2</v>
      </c>
      <c r="R26" s="57">
        <v>25</v>
      </c>
      <c r="S26" s="57">
        <v>0</v>
      </c>
      <c r="T26" s="57">
        <v>0</v>
      </c>
      <c r="U26" s="57">
        <v>0</v>
      </c>
      <c r="V26" s="57">
        <v>1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1</v>
      </c>
      <c r="AD26" s="57">
        <v>0</v>
      </c>
      <c r="AE26" s="57">
        <v>0</v>
      </c>
      <c r="AF26" s="57">
        <v>0</v>
      </c>
      <c r="AG26" s="57">
        <v>2</v>
      </c>
      <c r="AH26" s="48">
        <f t="shared" si="0"/>
        <v>414</v>
      </c>
    </row>
    <row r="27" spans="2:34" ht="12.75">
      <c r="B27" s="45" t="s">
        <v>99</v>
      </c>
      <c r="C27" s="7">
        <v>3</v>
      </c>
      <c r="D27" s="7">
        <v>3</v>
      </c>
      <c r="E27" s="58" t="s">
        <v>75</v>
      </c>
      <c r="F27" s="57">
        <v>78</v>
      </c>
      <c r="G27" s="57">
        <v>1</v>
      </c>
      <c r="H27" s="57">
        <v>0</v>
      </c>
      <c r="I27" s="57">
        <v>1</v>
      </c>
      <c r="J27" s="57">
        <v>10</v>
      </c>
      <c r="K27" s="57">
        <v>0</v>
      </c>
      <c r="L27" s="57">
        <v>0</v>
      </c>
      <c r="M27" s="57">
        <v>85</v>
      </c>
      <c r="N27" s="57">
        <v>192</v>
      </c>
      <c r="O27" s="57">
        <v>0</v>
      </c>
      <c r="P27" s="57">
        <v>1</v>
      </c>
      <c r="Q27" s="57">
        <v>0</v>
      </c>
      <c r="R27" s="57">
        <v>25</v>
      </c>
      <c r="S27" s="57">
        <v>0</v>
      </c>
      <c r="T27" s="57">
        <v>0</v>
      </c>
      <c r="U27" s="57">
        <v>0</v>
      </c>
      <c r="V27" s="57">
        <v>1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2</v>
      </c>
      <c r="AF27" s="57">
        <v>0</v>
      </c>
      <c r="AG27" s="57">
        <v>0</v>
      </c>
      <c r="AH27" s="48">
        <f t="shared" si="0"/>
        <v>396</v>
      </c>
    </row>
    <row r="28" spans="2:34" ht="12.75">
      <c r="B28" s="45" t="s">
        <v>99</v>
      </c>
      <c r="C28" s="7">
        <v>3</v>
      </c>
      <c r="D28" s="7">
        <v>3</v>
      </c>
      <c r="E28" s="58" t="s">
        <v>76</v>
      </c>
      <c r="F28" s="57">
        <v>66</v>
      </c>
      <c r="G28" s="57">
        <v>0</v>
      </c>
      <c r="H28" s="57">
        <v>0</v>
      </c>
      <c r="I28" s="57">
        <v>2</v>
      </c>
      <c r="J28" s="57">
        <v>15</v>
      </c>
      <c r="K28" s="57">
        <v>2</v>
      </c>
      <c r="L28" s="57">
        <v>0</v>
      </c>
      <c r="M28" s="57">
        <v>106</v>
      </c>
      <c r="N28" s="57">
        <v>175</v>
      </c>
      <c r="O28" s="57">
        <v>3</v>
      </c>
      <c r="P28" s="57">
        <v>0</v>
      </c>
      <c r="Q28" s="57">
        <v>0</v>
      </c>
      <c r="R28" s="57">
        <v>18</v>
      </c>
      <c r="S28" s="57">
        <v>0</v>
      </c>
      <c r="T28" s="57">
        <v>1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2</v>
      </c>
      <c r="AH28" s="48">
        <f t="shared" si="0"/>
        <v>390</v>
      </c>
    </row>
    <row r="29" spans="2:34" ht="12.75">
      <c r="B29" s="45" t="s">
        <v>99</v>
      </c>
      <c r="C29" s="7">
        <v>3</v>
      </c>
      <c r="D29" s="7">
        <v>3</v>
      </c>
      <c r="E29" s="58" t="s">
        <v>92</v>
      </c>
      <c r="F29" s="57">
        <v>96</v>
      </c>
      <c r="G29" s="57">
        <v>0</v>
      </c>
      <c r="H29" s="57">
        <v>0</v>
      </c>
      <c r="I29" s="57">
        <v>1</v>
      </c>
      <c r="J29" s="57">
        <v>23</v>
      </c>
      <c r="K29" s="57">
        <v>0</v>
      </c>
      <c r="L29" s="57">
        <v>0</v>
      </c>
      <c r="M29" s="57">
        <v>98</v>
      </c>
      <c r="N29" s="57">
        <v>200</v>
      </c>
      <c r="O29" s="57">
        <v>1</v>
      </c>
      <c r="P29" s="57">
        <v>0</v>
      </c>
      <c r="Q29" s="57">
        <v>1</v>
      </c>
      <c r="R29" s="57">
        <v>17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1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1</v>
      </c>
      <c r="AH29" s="48">
        <f t="shared" si="0"/>
        <v>439</v>
      </c>
    </row>
    <row r="30" spans="2:34" ht="12.75">
      <c r="B30" s="45" t="s">
        <v>100</v>
      </c>
      <c r="C30" s="41">
        <v>3</v>
      </c>
      <c r="D30" s="41">
        <v>4</v>
      </c>
      <c r="E30" s="58" t="s">
        <v>75</v>
      </c>
      <c r="F30" s="57">
        <v>75</v>
      </c>
      <c r="G30" s="57">
        <v>0</v>
      </c>
      <c r="H30" s="57">
        <v>0</v>
      </c>
      <c r="I30" s="57">
        <v>1</v>
      </c>
      <c r="J30" s="57">
        <v>12</v>
      </c>
      <c r="K30" s="57">
        <v>1</v>
      </c>
      <c r="L30" s="57">
        <v>0</v>
      </c>
      <c r="M30" s="57">
        <v>94</v>
      </c>
      <c r="N30" s="57">
        <v>211</v>
      </c>
      <c r="O30" s="57">
        <v>1</v>
      </c>
      <c r="P30" s="57">
        <v>1</v>
      </c>
      <c r="Q30" s="57">
        <v>1</v>
      </c>
      <c r="R30" s="57">
        <v>21</v>
      </c>
      <c r="S30" s="57">
        <v>0</v>
      </c>
      <c r="T30" s="57">
        <v>0</v>
      </c>
      <c r="U30" s="57">
        <v>0</v>
      </c>
      <c r="V30" s="57">
        <v>1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4</v>
      </c>
      <c r="AH30" s="48">
        <f t="shared" si="0"/>
        <v>423</v>
      </c>
    </row>
    <row r="31" spans="2:34" ht="12.75">
      <c r="B31" s="45" t="s">
        <v>100</v>
      </c>
      <c r="C31" s="41">
        <v>3</v>
      </c>
      <c r="D31" s="41">
        <v>4</v>
      </c>
      <c r="E31" s="58" t="s">
        <v>76</v>
      </c>
      <c r="F31" s="57">
        <v>83</v>
      </c>
      <c r="G31" s="57">
        <v>0</v>
      </c>
      <c r="H31" s="57">
        <v>0</v>
      </c>
      <c r="I31" s="57">
        <v>1</v>
      </c>
      <c r="J31" s="57">
        <v>15</v>
      </c>
      <c r="K31" s="57">
        <v>2</v>
      </c>
      <c r="L31" s="57">
        <v>1</v>
      </c>
      <c r="M31" s="57">
        <v>86</v>
      </c>
      <c r="N31" s="57">
        <v>263</v>
      </c>
      <c r="O31" s="57">
        <v>1</v>
      </c>
      <c r="P31" s="57">
        <v>1</v>
      </c>
      <c r="Q31" s="57">
        <v>0</v>
      </c>
      <c r="R31" s="57">
        <v>17</v>
      </c>
      <c r="S31" s="57">
        <v>0</v>
      </c>
      <c r="T31" s="57">
        <v>0</v>
      </c>
      <c r="U31" s="57">
        <v>0</v>
      </c>
      <c r="V31" s="57">
        <v>4</v>
      </c>
      <c r="W31" s="57">
        <v>2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1</v>
      </c>
      <c r="AD31" s="57">
        <v>0</v>
      </c>
      <c r="AE31" s="57">
        <v>0</v>
      </c>
      <c r="AF31" s="57">
        <v>0</v>
      </c>
      <c r="AG31" s="57">
        <v>3</v>
      </c>
      <c r="AH31" s="48">
        <f t="shared" si="0"/>
        <v>480</v>
      </c>
    </row>
    <row r="32" spans="2:34" ht="12.75">
      <c r="B32" s="45" t="s">
        <v>100</v>
      </c>
      <c r="C32" s="41">
        <v>3</v>
      </c>
      <c r="D32" s="41">
        <v>4</v>
      </c>
      <c r="E32" s="58" t="s">
        <v>92</v>
      </c>
      <c r="F32" s="57">
        <v>88</v>
      </c>
      <c r="G32" s="57">
        <v>0</v>
      </c>
      <c r="H32" s="57">
        <v>0</v>
      </c>
      <c r="I32" s="57">
        <v>2</v>
      </c>
      <c r="J32" s="57">
        <v>16</v>
      </c>
      <c r="K32" s="57">
        <v>1</v>
      </c>
      <c r="L32" s="57">
        <v>0</v>
      </c>
      <c r="M32" s="57">
        <v>74</v>
      </c>
      <c r="N32" s="57">
        <v>301</v>
      </c>
      <c r="O32" s="57">
        <v>0</v>
      </c>
      <c r="P32" s="57">
        <v>1</v>
      </c>
      <c r="Q32" s="57">
        <v>0</v>
      </c>
      <c r="R32" s="57">
        <v>26</v>
      </c>
      <c r="S32" s="57">
        <v>0</v>
      </c>
      <c r="T32" s="57">
        <v>0</v>
      </c>
      <c r="U32" s="57">
        <v>0</v>
      </c>
      <c r="V32" s="57">
        <v>2</v>
      </c>
      <c r="W32" s="57">
        <v>2</v>
      </c>
      <c r="X32" s="57">
        <v>0</v>
      </c>
      <c r="Y32" s="57">
        <v>0</v>
      </c>
      <c r="Z32" s="57">
        <v>0</v>
      </c>
      <c r="AA32" s="57">
        <v>0</v>
      </c>
      <c r="AB32" s="57">
        <v>3</v>
      </c>
      <c r="AC32" s="57">
        <v>0</v>
      </c>
      <c r="AD32" s="57">
        <v>0</v>
      </c>
      <c r="AE32" s="57">
        <v>0</v>
      </c>
      <c r="AF32" s="57">
        <v>0</v>
      </c>
      <c r="AG32" s="57">
        <v>6</v>
      </c>
      <c r="AH32" s="48">
        <f t="shared" si="0"/>
        <v>522</v>
      </c>
    </row>
    <row r="33" spans="2:34" ht="12.75">
      <c r="B33" s="45" t="s">
        <v>98</v>
      </c>
      <c r="C33" s="41">
        <v>3</v>
      </c>
      <c r="D33" s="41">
        <v>5</v>
      </c>
      <c r="E33" s="58" t="s">
        <v>75</v>
      </c>
      <c r="F33" s="57">
        <v>61</v>
      </c>
      <c r="G33" s="57">
        <v>0</v>
      </c>
      <c r="H33" s="57">
        <v>1</v>
      </c>
      <c r="I33" s="57">
        <v>1</v>
      </c>
      <c r="J33" s="57">
        <v>7</v>
      </c>
      <c r="K33" s="57">
        <v>0</v>
      </c>
      <c r="L33" s="57">
        <v>2</v>
      </c>
      <c r="M33" s="57">
        <v>48</v>
      </c>
      <c r="N33" s="57">
        <v>152</v>
      </c>
      <c r="O33" s="57">
        <v>0</v>
      </c>
      <c r="P33" s="57">
        <v>0</v>
      </c>
      <c r="Q33" s="57">
        <v>0</v>
      </c>
      <c r="R33" s="57">
        <v>19</v>
      </c>
      <c r="S33" s="57">
        <v>1</v>
      </c>
      <c r="T33" s="57">
        <v>0</v>
      </c>
      <c r="U33" s="57">
        <v>0</v>
      </c>
      <c r="V33" s="57">
        <v>2</v>
      </c>
      <c r="W33" s="57">
        <v>1</v>
      </c>
      <c r="X33" s="57">
        <v>0</v>
      </c>
      <c r="Y33" s="57">
        <v>0</v>
      </c>
      <c r="Z33" s="57">
        <v>1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1</v>
      </c>
      <c r="AH33" s="48">
        <f t="shared" si="0"/>
        <v>297</v>
      </c>
    </row>
    <row r="34" spans="2:34" ht="12.75">
      <c r="B34" s="45" t="s">
        <v>98</v>
      </c>
      <c r="C34" s="41">
        <v>3</v>
      </c>
      <c r="D34" s="41">
        <v>5</v>
      </c>
      <c r="E34" s="58" t="s">
        <v>40</v>
      </c>
      <c r="F34" s="57">
        <v>64</v>
      </c>
      <c r="G34" s="57">
        <v>0</v>
      </c>
      <c r="H34" s="57">
        <v>0</v>
      </c>
      <c r="I34" s="57">
        <v>1</v>
      </c>
      <c r="J34" s="57">
        <v>8</v>
      </c>
      <c r="K34" s="57">
        <v>0</v>
      </c>
      <c r="L34" s="57">
        <v>0</v>
      </c>
      <c r="M34" s="57">
        <v>51</v>
      </c>
      <c r="N34" s="57">
        <v>175</v>
      </c>
      <c r="O34" s="57">
        <v>2</v>
      </c>
      <c r="P34" s="57">
        <v>0</v>
      </c>
      <c r="Q34" s="57">
        <v>0</v>
      </c>
      <c r="R34" s="57">
        <v>19</v>
      </c>
      <c r="S34" s="57">
        <v>0</v>
      </c>
      <c r="T34" s="57">
        <v>0</v>
      </c>
      <c r="U34" s="57">
        <v>0</v>
      </c>
      <c r="V34" s="57">
        <v>1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2</v>
      </c>
      <c r="AH34" s="48">
        <f t="shared" si="0"/>
        <v>323</v>
      </c>
    </row>
    <row r="35" spans="2:34" ht="12.75">
      <c r="B35" s="45" t="s">
        <v>101</v>
      </c>
      <c r="C35" s="41">
        <v>3</v>
      </c>
      <c r="D35" s="41">
        <v>6</v>
      </c>
      <c r="E35" s="58" t="s">
        <v>75</v>
      </c>
      <c r="F35" s="57">
        <v>102</v>
      </c>
      <c r="G35" s="57">
        <v>0</v>
      </c>
      <c r="H35" s="57">
        <v>0</v>
      </c>
      <c r="I35" s="57">
        <v>1</v>
      </c>
      <c r="J35" s="57">
        <v>10</v>
      </c>
      <c r="K35" s="57">
        <v>0</v>
      </c>
      <c r="L35" s="57">
        <v>1</v>
      </c>
      <c r="M35" s="57">
        <v>72</v>
      </c>
      <c r="N35" s="57">
        <v>196</v>
      </c>
      <c r="O35" s="57">
        <v>0</v>
      </c>
      <c r="P35" s="57">
        <v>1</v>
      </c>
      <c r="Q35" s="57">
        <v>0</v>
      </c>
      <c r="R35" s="57">
        <v>43</v>
      </c>
      <c r="S35" s="57">
        <v>0</v>
      </c>
      <c r="T35" s="57">
        <v>2</v>
      </c>
      <c r="U35" s="57">
        <v>2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3</v>
      </c>
      <c r="AH35" s="48">
        <f t="shared" si="0"/>
        <v>433</v>
      </c>
    </row>
    <row r="36" spans="2:34" ht="12.75">
      <c r="B36" s="45" t="s">
        <v>101</v>
      </c>
      <c r="C36" s="41">
        <v>3</v>
      </c>
      <c r="D36" s="41">
        <v>6</v>
      </c>
      <c r="E36" s="58" t="s">
        <v>40</v>
      </c>
      <c r="F36" s="57">
        <v>147</v>
      </c>
      <c r="G36" s="57">
        <v>1</v>
      </c>
      <c r="H36" s="57">
        <v>0</v>
      </c>
      <c r="I36" s="57">
        <v>1</v>
      </c>
      <c r="J36" s="57">
        <v>14</v>
      </c>
      <c r="K36" s="57">
        <v>0</v>
      </c>
      <c r="L36" s="57">
        <v>3</v>
      </c>
      <c r="M36" s="57">
        <v>87</v>
      </c>
      <c r="N36" s="57">
        <v>243</v>
      </c>
      <c r="O36" s="57">
        <v>1</v>
      </c>
      <c r="P36" s="57">
        <v>0</v>
      </c>
      <c r="Q36" s="57">
        <v>1</v>
      </c>
      <c r="R36" s="57">
        <v>53</v>
      </c>
      <c r="S36" s="57">
        <v>0</v>
      </c>
      <c r="T36" s="57">
        <v>0</v>
      </c>
      <c r="U36" s="57">
        <v>1</v>
      </c>
      <c r="V36" s="57">
        <v>4</v>
      </c>
      <c r="W36" s="57">
        <v>0</v>
      </c>
      <c r="X36" s="57">
        <v>0</v>
      </c>
      <c r="Y36" s="57">
        <v>0</v>
      </c>
      <c r="Z36" s="57">
        <v>1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4</v>
      </c>
      <c r="AH36" s="48">
        <f t="shared" si="0"/>
        <v>561</v>
      </c>
    </row>
    <row r="37" spans="2:34" ht="12.75">
      <c r="B37" s="6" t="s">
        <v>83</v>
      </c>
      <c r="C37" s="7">
        <v>3</v>
      </c>
      <c r="D37" s="7">
        <v>7</v>
      </c>
      <c r="E37" s="58" t="s">
        <v>75</v>
      </c>
      <c r="F37" s="57">
        <v>76</v>
      </c>
      <c r="G37" s="57">
        <v>0</v>
      </c>
      <c r="H37" s="57">
        <v>0</v>
      </c>
      <c r="I37" s="57">
        <v>3</v>
      </c>
      <c r="J37" s="57">
        <v>9</v>
      </c>
      <c r="K37" s="57">
        <v>2</v>
      </c>
      <c r="L37" s="57">
        <v>0</v>
      </c>
      <c r="M37" s="57">
        <v>107</v>
      </c>
      <c r="N37" s="57">
        <v>157</v>
      </c>
      <c r="O37" s="57">
        <v>0</v>
      </c>
      <c r="P37" s="57">
        <v>1</v>
      </c>
      <c r="Q37" s="57">
        <v>1</v>
      </c>
      <c r="R37" s="57">
        <v>13</v>
      </c>
      <c r="S37" s="57">
        <v>0</v>
      </c>
      <c r="T37" s="57">
        <v>0</v>
      </c>
      <c r="U37" s="57">
        <v>0</v>
      </c>
      <c r="V37" s="57">
        <v>2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0</v>
      </c>
      <c r="AG37" s="57">
        <v>4</v>
      </c>
      <c r="AH37" s="48">
        <f t="shared" si="0"/>
        <v>375</v>
      </c>
    </row>
    <row r="38" spans="2:34" ht="12.75">
      <c r="B38" s="6" t="s">
        <v>83</v>
      </c>
      <c r="C38" s="7">
        <v>3</v>
      </c>
      <c r="D38" s="7">
        <v>7</v>
      </c>
      <c r="E38" s="58" t="s">
        <v>76</v>
      </c>
      <c r="F38" s="57">
        <v>77</v>
      </c>
      <c r="G38" s="57">
        <v>0</v>
      </c>
      <c r="H38" s="57">
        <v>0</v>
      </c>
      <c r="I38" s="57">
        <v>0</v>
      </c>
      <c r="J38" s="57">
        <v>12</v>
      </c>
      <c r="K38" s="57">
        <v>3</v>
      </c>
      <c r="L38" s="57">
        <v>0</v>
      </c>
      <c r="M38" s="57">
        <v>108</v>
      </c>
      <c r="N38" s="57">
        <v>234</v>
      </c>
      <c r="O38" s="57">
        <v>1</v>
      </c>
      <c r="P38" s="57">
        <v>0</v>
      </c>
      <c r="Q38" s="57">
        <v>3</v>
      </c>
      <c r="R38" s="57">
        <v>23</v>
      </c>
      <c r="S38" s="57">
        <v>0</v>
      </c>
      <c r="T38" s="57">
        <v>1</v>
      </c>
      <c r="U38" s="57">
        <v>0</v>
      </c>
      <c r="V38" s="57">
        <v>1</v>
      </c>
      <c r="W38" s="57">
        <v>3</v>
      </c>
      <c r="X38" s="57">
        <v>0</v>
      </c>
      <c r="Y38" s="57">
        <v>0</v>
      </c>
      <c r="Z38" s="57">
        <v>1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3</v>
      </c>
      <c r="AH38" s="48">
        <f t="shared" si="0"/>
        <v>470</v>
      </c>
    </row>
    <row r="39" spans="2:34" ht="12.75">
      <c r="B39" s="6" t="s">
        <v>83</v>
      </c>
      <c r="C39" s="7">
        <v>3</v>
      </c>
      <c r="D39" s="7">
        <v>7</v>
      </c>
      <c r="E39" s="58" t="s">
        <v>92</v>
      </c>
      <c r="F39" s="57">
        <v>95</v>
      </c>
      <c r="G39" s="57">
        <v>0</v>
      </c>
      <c r="H39" s="57">
        <v>0</v>
      </c>
      <c r="I39" s="57">
        <v>1</v>
      </c>
      <c r="J39" s="57">
        <v>13</v>
      </c>
      <c r="K39" s="57">
        <v>1</v>
      </c>
      <c r="L39" s="57">
        <v>2</v>
      </c>
      <c r="M39" s="57">
        <v>133</v>
      </c>
      <c r="N39" s="57">
        <v>195</v>
      </c>
      <c r="O39" s="57">
        <v>1</v>
      </c>
      <c r="P39" s="57">
        <v>0</v>
      </c>
      <c r="Q39" s="57">
        <v>0</v>
      </c>
      <c r="R39" s="57">
        <v>14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6</v>
      </c>
      <c r="AH39" s="48">
        <f t="shared" si="0"/>
        <v>461</v>
      </c>
    </row>
    <row r="40" spans="2:34" ht="12.75">
      <c r="B40" s="45" t="s">
        <v>102</v>
      </c>
      <c r="C40" s="41">
        <v>3</v>
      </c>
      <c r="D40" s="41">
        <v>8</v>
      </c>
      <c r="E40" s="58" t="s">
        <v>75</v>
      </c>
      <c r="F40" s="57">
        <v>79</v>
      </c>
      <c r="G40" s="57">
        <v>0</v>
      </c>
      <c r="H40" s="57">
        <v>0</v>
      </c>
      <c r="I40" s="57">
        <v>2</v>
      </c>
      <c r="J40" s="57">
        <v>10</v>
      </c>
      <c r="K40" s="57">
        <v>0</v>
      </c>
      <c r="L40" s="57">
        <v>1</v>
      </c>
      <c r="M40" s="57">
        <v>98</v>
      </c>
      <c r="N40" s="57">
        <v>220</v>
      </c>
      <c r="O40" s="57">
        <v>0</v>
      </c>
      <c r="P40" s="57">
        <v>0</v>
      </c>
      <c r="Q40" s="57">
        <v>0</v>
      </c>
      <c r="R40" s="57">
        <v>13</v>
      </c>
      <c r="S40" s="57">
        <v>0</v>
      </c>
      <c r="T40" s="57">
        <v>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3</v>
      </c>
      <c r="AH40" s="48">
        <f t="shared" si="0"/>
        <v>426</v>
      </c>
    </row>
    <row r="41" spans="2:34" ht="12.75">
      <c r="B41" s="45" t="s">
        <v>102</v>
      </c>
      <c r="C41" s="41">
        <v>3</v>
      </c>
      <c r="D41" s="41">
        <v>8</v>
      </c>
      <c r="E41" s="58" t="s">
        <v>40</v>
      </c>
      <c r="F41" s="57">
        <v>68</v>
      </c>
      <c r="G41" s="57">
        <v>0</v>
      </c>
      <c r="H41" s="57">
        <v>0</v>
      </c>
      <c r="I41" s="57">
        <v>4</v>
      </c>
      <c r="J41" s="57">
        <v>0</v>
      </c>
      <c r="K41" s="57">
        <v>0</v>
      </c>
      <c r="L41" s="57">
        <v>0</v>
      </c>
      <c r="M41" s="57">
        <v>135</v>
      </c>
      <c r="N41" s="57">
        <v>238</v>
      </c>
      <c r="O41" s="57">
        <v>0</v>
      </c>
      <c r="P41" s="57">
        <v>0</v>
      </c>
      <c r="Q41" s="57">
        <v>1</v>
      </c>
      <c r="R41" s="57">
        <v>17</v>
      </c>
      <c r="S41" s="57">
        <v>0</v>
      </c>
      <c r="T41" s="57">
        <v>0</v>
      </c>
      <c r="U41" s="57">
        <v>0</v>
      </c>
      <c r="V41" s="57">
        <v>0</v>
      </c>
      <c r="W41" s="57">
        <v>1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1</v>
      </c>
      <c r="AH41" s="48">
        <f t="shared" si="0"/>
        <v>465</v>
      </c>
    </row>
    <row r="42" spans="2:34" ht="12.75">
      <c r="B42" s="45" t="s">
        <v>102</v>
      </c>
      <c r="C42" s="41">
        <v>3</v>
      </c>
      <c r="D42" s="41">
        <v>8</v>
      </c>
      <c r="E42" s="58" t="s">
        <v>92</v>
      </c>
      <c r="F42" s="57">
        <v>87</v>
      </c>
      <c r="G42" s="57">
        <v>0</v>
      </c>
      <c r="H42" s="57">
        <v>0</v>
      </c>
      <c r="I42" s="57">
        <v>2</v>
      </c>
      <c r="J42" s="57">
        <v>19</v>
      </c>
      <c r="K42" s="57">
        <v>0</v>
      </c>
      <c r="L42" s="57">
        <v>0</v>
      </c>
      <c r="M42" s="57">
        <v>103</v>
      </c>
      <c r="N42" s="57">
        <v>289</v>
      </c>
      <c r="O42" s="57">
        <v>0</v>
      </c>
      <c r="P42" s="57">
        <v>0</v>
      </c>
      <c r="Q42" s="57">
        <v>0</v>
      </c>
      <c r="R42" s="57">
        <v>20</v>
      </c>
      <c r="S42" s="57">
        <v>0</v>
      </c>
      <c r="T42" s="57">
        <v>0</v>
      </c>
      <c r="U42" s="57">
        <v>1</v>
      </c>
      <c r="V42" s="57">
        <v>0</v>
      </c>
      <c r="W42" s="57">
        <v>1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1</v>
      </c>
      <c r="AF42" s="57">
        <v>0</v>
      </c>
      <c r="AG42" s="57">
        <v>3</v>
      </c>
      <c r="AH42" s="48">
        <f t="shared" si="0"/>
        <v>526</v>
      </c>
    </row>
    <row r="43" spans="2:34" ht="12.75">
      <c r="B43" s="45" t="s">
        <v>103</v>
      </c>
      <c r="C43" s="41">
        <v>3</v>
      </c>
      <c r="D43" s="41">
        <v>9</v>
      </c>
      <c r="E43" s="58" t="s">
        <v>75</v>
      </c>
      <c r="F43" s="57">
        <v>77</v>
      </c>
      <c r="G43" s="57">
        <v>0</v>
      </c>
      <c r="H43" s="57">
        <v>0</v>
      </c>
      <c r="I43" s="57">
        <v>1</v>
      </c>
      <c r="J43" s="57">
        <v>12</v>
      </c>
      <c r="K43" s="57">
        <v>0</v>
      </c>
      <c r="L43" s="57">
        <v>0</v>
      </c>
      <c r="M43" s="57">
        <v>76</v>
      </c>
      <c r="N43" s="57">
        <v>133</v>
      </c>
      <c r="O43" s="57">
        <v>0</v>
      </c>
      <c r="P43" s="57">
        <v>4</v>
      </c>
      <c r="Q43" s="57">
        <v>1</v>
      </c>
      <c r="R43" s="57">
        <v>24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4</v>
      </c>
      <c r="AH43" s="48">
        <f t="shared" si="0"/>
        <v>332</v>
      </c>
    </row>
    <row r="44" spans="2:34" ht="12.75">
      <c r="B44" s="45" t="s">
        <v>103</v>
      </c>
      <c r="C44" s="41">
        <v>3</v>
      </c>
      <c r="D44" s="41">
        <v>9</v>
      </c>
      <c r="E44" s="58" t="s">
        <v>40</v>
      </c>
      <c r="F44" s="57">
        <v>83</v>
      </c>
      <c r="G44" s="57">
        <v>0</v>
      </c>
      <c r="H44" s="57">
        <v>0</v>
      </c>
      <c r="I44" s="57">
        <v>2</v>
      </c>
      <c r="J44" s="57">
        <v>4</v>
      </c>
      <c r="K44" s="57">
        <v>0</v>
      </c>
      <c r="L44" s="57">
        <v>0</v>
      </c>
      <c r="M44" s="57">
        <v>90</v>
      </c>
      <c r="N44" s="57">
        <v>148</v>
      </c>
      <c r="O44" s="57">
        <v>0</v>
      </c>
      <c r="P44" s="57">
        <v>1</v>
      </c>
      <c r="Q44" s="57">
        <v>0</v>
      </c>
      <c r="R44" s="57">
        <v>30</v>
      </c>
      <c r="S44" s="57">
        <v>0</v>
      </c>
      <c r="T44" s="57">
        <v>0</v>
      </c>
      <c r="U44" s="57">
        <v>1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6</v>
      </c>
      <c r="AH44" s="48">
        <f t="shared" si="0"/>
        <v>365</v>
      </c>
    </row>
    <row r="45" spans="2:34" ht="12.75">
      <c r="B45" s="6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48"/>
    </row>
    <row r="46" spans="1:34" ht="12.75">
      <c r="A46" s="5"/>
      <c r="B46" s="9" t="s">
        <v>89</v>
      </c>
      <c r="C46" s="10"/>
      <c r="D46" s="10"/>
      <c r="E46" s="10"/>
      <c r="F46" s="11">
        <f>SUM(F8:F45)</f>
        <v>3104</v>
      </c>
      <c r="G46" s="11">
        <f aca="true" t="shared" si="1" ref="G46:AG46">SUM(G8:G45)</f>
        <v>4</v>
      </c>
      <c r="H46" s="11">
        <f t="shared" si="1"/>
        <v>8</v>
      </c>
      <c r="I46" s="11">
        <f t="shared" si="1"/>
        <v>51</v>
      </c>
      <c r="J46" s="11">
        <f t="shared" si="1"/>
        <v>423</v>
      </c>
      <c r="K46" s="11">
        <f t="shared" si="1"/>
        <v>19</v>
      </c>
      <c r="L46" s="11">
        <f t="shared" si="1"/>
        <v>17</v>
      </c>
      <c r="M46" s="11">
        <f t="shared" si="1"/>
        <v>3191</v>
      </c>
      <c r="N46" s="11">
        <f t="shared" si="1"/>
        <v>7551</v>
      </c>
      <c r="O46" s="11">
        <f t="shared" si="1"/>
        <v>16</v>
      </c>
      <c r="P46" s="11">
        <f t="shared" si="1"/>
        <v>19</v>
      </c>
      <c r="Q46" s="11">
        <f t="shared" si="1"/>
        <v>19</v>
      </c>
      <c r="R46" s="11">
        <f t="shared" si="1"/>
        <v>912</v>
      </c>
      <c r="S46" s="11">
        <f t="shared" si="1"/>
        <v>5</v>
      </c>
      <c r="T46" s="11">
        <f t="shared" si="1"/>
        <v>7</v>
      </c>
      <c r="U46" s="11">
        <f t="shared" si="1"/>
        <v>12</v>
      </c>
      <c r="V46" s="11">
        <f t="shared" si="1"/>
        <v>26</v>
      </c>
      <c r="W46" s="11">
        <f t="shared" si="1"/>
        <v>15</v>
      </c>
      <c r="X46" s="11">
        <f t="shared" si="1"/>
        <v>1</v>
      </c>
      <c r="Y46" s="11">
        <f t="shared" si="1"/>
        <v>0</v>
      </c>
      <c r="Z46" s="11">
        <f t="shared" si="1"/>
        <v>6</v>
      </c>
      <c r="AA46" s="11">
        <f t="shared" si="1"/>
        <v>1</v>
      </c>
      <c r="AB46" s="11">
        <f t="shared" si="1"/>
        <v>4</v>
      </c>
      <c r="AC46" s="11">
        <f t="shared" si="1"/>
        <v>2</v>
      </c>
      <c r="AD46" s="11">
        <f t="shared" si="1"/>
        <v>1</v>
      </c>
      <c r="AE46" s="11">
        <f t="shared" si="1"/>
        <v>7</v>
      </c>
      <c r="AF46" s="11">
        <f t="shared" si="1"/>
        <v>4</v>
      </c>
      <c r="AG46" s="11">
        <f t="shared" si="1"/>
        <v>84</v>
      </c>
      <c r="AH46" s="59">
        <f>SUM(F46:AG46)</f>
        <v>15509</v>
      </c>
    </row>
    <row r="47" spans="2:34" ht="13.5" thickBot="1"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47"/>
    </row>
    <row r="49" spans="11:24" ht="12.75">
      <c r="K49" s="52" t="s">
        <v>7</v>
      </c>
      <c r="L49" s="52" t="s">
        <v>135</v>
      </c>
      <c r="R49" s="52" t="s">
        <v>115</v>
      </c>
      <c r="S49" s="52" t="s">
        <v>141</v>
      </c>
      <c r="W49" s="52" t="s">
        <v>122</v>
      </c>
      <c r="X49" s="52" t="s">
        <v>148</v>
      </c>
    </row>
    <row r="50" spans="2:24" ht="12.75">
      <c r="B50" t="s">
        <v>157</v>
      </c>
      <c r="C50" s="52" t="s">
        <v>104</v>
      </c>
      <c r="D50" s="52" t="s">
        <v>129</v>
      </c>
      <c r="E50" s="51"/>
      <c r="K50" s="52" t="s">
        <v>109</v>
      </c>
      <c r="L50" s="52" t="s">
        <v>136</v>
      </c>
      <c r="R50" s="52" t="s">
        <v>116</v>
      </c>
      <c r="S50" s="52" t="s">
        <v>142</v>
      </c>
      <c r="W50" s="52" t="s">
        <v>123</v>
      </c>
      <c r="X50" s="52" t="s">
        <v>149</v>
      </c>
    </row>
    <row r="51" spans="3:34" ht="12.75">
      <c r="C51" s="52" t="s">
        <v>23</v>
      </c>
      <c r="D51" s="52" t="s">
        <v>130</v>
      </c>
      <c r="E51" s="51"/>
      <c r="F51" s="50"/>
      <c r="G51" s="50"/>
      <c r="J51" s="43"/>
      <c r="K51" s="52" t="s">
        <v>110</v>
      </c>
      <c r="L51" s="52" t="s">
        <v>137</v>
      </c>
      <c r="M51" s="43"/>
      <c r="N51" s="43"/>
      <c r="O51" s="43"/>
      <c r="P51" s="43"/>
      <c r="Q51" s="43"/>
      <c r="R51" s="52" t="s">
        <v>117</v>
      </c>
      <c r="S51" s="52" t="s">
        <v>143</v>
      </c>
      <c r="T51" s="43"/>
      <c r="U51" s="43"/>
      <c r="V51" s="43"/>
      <c r="W51" s="52" t="s">
        <v>124</v>
      </c>
      <c r="X51" s="52" t="s">
        <v>150</v>
      </c>
      <c r="Y51" s="43"/>
      <c r="Z51" s="43"/>
      <c r="AC51" s="43"/>
      <c r="AD51" s="43"/>
      <c r="AE51" s="43"/>
      <c r="AF51" s="43"/>
      <c r="AG51" s="43"/>
      <c r="AH51" s="42"/>
    </row>
    <row r="52" spans="3:24" ht="12.75">
      <c r="C52" s="52" t="s">
        <v>17</v>
      </c>
      <c r="D52" s="52" t="s">
        <v>131</v>
      </c>
      <c r="E52" s="51"/>
      <c r="F52" s="50"/>
      <c r="G52" s="50"/>
      <c r="K52" s="52" t="s">
        <v>111</v>
      </c>
      <c r="L52" s="52" t="s">
        <v>159</v>
      </c>
      <c r="R52" s="52" t="s">
        <v>118</v>
      </c>
      <c r="S52" s="52" t="s">
        <v>144</v>
      </c>
      <c r="W52" s="52" t="s">
        <v>125</v>
      </c>
      <c r="X52" s="52" t="s">
        <v>151</v>
      </c>
    </row>
    <row r="53" spans="3:24" ht="12.75">
      <c r="C53" s="52" t="s">
        <v>105</v>
      </c>
      <c r="D53" s="52" t="s">
        <v>132</v>
      </c>
      <c r="E53" s="51"/>
      <c r="F53" s="50"/>
      <c r="G53" s="50"/>
      <c r="K53" s="52" t="s">
        <v>112</v>
      </c>
      <c r="L53" s="52" t="s">
        <v>138</v>
      </c>
      <c r="R53" s="52" t="s">
        <v>119</v>
      </c>
      <c r="S53" s="52" t="s">
        <v>145</v>
      </c>
      <c r="W53" s="52" t="s">
        <v>126</v>
      </c>
      <c r="X53" s="52" t="s">
        <v>160</v>
      </c>
    </row>
    <row r="54" spans="3:24" ht="12.75">
      <c r="C54" s="52" t="s">
        <v>106</v>
      </c>
      <c r="D54" s="52" t="s">
        <v>158</v>
      </c>
      <c r="E54" s="51"/>
      <c r="F54" s="50"/>
      <c r="G54" s="50"/>
      <c r="K54" s="52" t="s">
        <v>113</v>
      </c>
      <c r="L54" s="52" t="s">
        <v>139</v>
      </c>
      <c r="R54" s="52" t="s">
        <v>120</v>
      </c>
      <c r="S54" s="52" t="s">
        <v>146</v>
      </c>
      <c r="W54" s="52" t="s">
        <v>127</v>
      </c>
      <c r="X54" s="52" t="s">
        <v>152</v>
      </c>
    </row>
    <row r="55" spans="3:24" ht="12.75">
      <c r="C55" s="52" t="s">
        <v>107</v>
      </c>
      <c r="D55" s="52" t="s">
        <v>133</v>
      </c>
      <c r="E55" s="51"/>
      <c r="F55" s="50"/>
      <c r="G55" s="50"/>
      <c r="K55" s="52" t="s">
        <v>114</v>
      </c>
      <c r="L55" s="52" t="s">
        <v>140</v>
      </c>
      <c r="R55" s="52" t="s">
        <v>121</v>
      </c>
      <c r="S55" s="52" t="s">
        <v>147</v>
      </c>
      <c r="W55" s="52" t="s">
        <v>128</v>
      </c>
      <c r="X55" s="52" t="s">
        <v>153</v>
      </c>
    </row>
    <row r="56" spans="3:7" ht="12.75">
      <c r="C56" s="52" t="s">
        <v>108</v>
      </c>
      <c r="D56" s="52" t="s">
        <v>134</v>
      </c>
      <c r="E56" s="51"/>
      <c r="F56" s="50"/>
      <c r="G56" s="50"/>
    </row>
    <row r="57" spans="3:7" ht="12.75">
      <c r="C57" s="52"/>
      <c r="D57" s="52"/>
      <c r="E57" s="51"/>
      <c r="F57" s="50"/>
      <c r="G57" s="50"/>
    </row>
    <row r="58" spans="3:7" ht="12.75">
      <c r="C58" s="52"/>
      <c r="D58" s="52"/>
      <c r="E58" s="51"/>
      <c r="F58" s="50"/>
      <c r="G58" s="50"/>
    </row>
    <row r="59" spans="3:7" ht="12.75">
      <c r="C59" s="52"/>
      <c r="D59" s="52"/>
      <c r="E59" s="51"/>
      <c r="F59" s="50"/>
      <c r="G59" s="50"/>
    </row>
    <row r="60" spans="3:7" ht="12.75">
      <c r="C60" s="52"/>
      <c r="D60" s="52"/>
      <c r="E60" s="51"/>
      <c r="F60" s="50"/>
      <c r="G60" s="50"/>
    </row>
    <row r="61" spans="3:7" ht="12.75">
      <c r="C61" s="52"/>
      <c r="D61" s="52"/>
      <c r="E61" s="51"/>
      <c r="F61" s="50"/>
      <c r="G61" s="50"/>
    </row>
    <row r="62" spans="3:7" ht="12.75">
      <c r="C62" s="52"/>
      <c r="D62" s="52"/>
      <c r="E62" s="51"/>
      <c r="F62" s="50"/>
      <c r="G62" s="50"/>
    </row>
    <row r="63" spans="3:7" ht="12.75">
      <c r="C63" s="52"/>
      <c r="D63" s="52"/>
      <c r="E63" s="51"/>
      <c r="F63" s="50"/>
      <c r="G63" s="50"/>
    </row>
    <row r="64" spans="5:7" ht="12.75">
      <c r="E64" s="51"/>
      <c r="F64" s="50"/>
      <c r="G64" s="50"/>
    </row>
    <row r="65" spans="5:7" ht="12.75">
      <c r="E65" s="51"/>
      <c r="F65" s="50"/>
      <c r="G65" s="50"/>
    </row>
    <row r="66" spans="5:7" ht="12.75">
      <c r="E66" s="51"/>
      <c r="F66" s="50"/>
      <c r="G66" s="50"/>
    </row>
    <row r="67" spans="5:7" ht="12.75">
      <c r="E67" s="51"/>
      <c r="F67" s="50"/>
      <c r="G67" s="50"/>
    </row>
    <row r="68" spans="5:7" ht="12.75"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3:7" ht="12.75">
      <c r="C78" s="44"/>
      <c r="F78" s="50"/>
      <c r="G78" s="50"/>
    </row>
  </sheetData>
  <sheetProtection/>
  <mergeCells count="3">
    <mergeCell ref="B1:M1"/>
    <mergeCell ref="B3:N3"/>
    <mergeCell ref="B4:D4"/>
  </mergeCells>
  <printOptions/>
  <pageMargins left="0.7874015748031497" right="0.7874015748031497" top="0.984251968503937" bottom="0.984251968503937" header="0" footer="0"/>
  <pageSetup fitToHeight="2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80"/>
  <sheetViews>
    <sheetView zoomScalePageLayoutView="0" workbookViewId="0" topLeftCell="G1">
      <selection activeCell="AH10" sqref="AH10"/>
    </sheetView>
  </sheetViews>
  <sheetFormatPr defaultColWidth="11.421875" defaultRowHeight="12.75"/>
  <cols>
    <col min="1" max="1" width="2.7109375" style="0" customWidth="1"/>
    <col min="2" max="2" width="33.140625" style="0" customWidth="1"/>
    <col min="3" max="3" width="8.57421875" style="0" customWidth="1"/>
    <col min="4" max="4" width="7.7109375" style="0" customWidth="1"/>
    <col min="5" max="5" width="5.421875" style="0" customWidth="1"/>
    <col min="6" max="6" width="6.71093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1" width="8.00390625" style="0" customWidth="1"/>
    <col min="12" max="12" width="4.8515625" style="0" customWidth="1"/>
    <col min="13" max="13" width="6.28125" style="0" customWidth="1"/>
    <col min="14" max="14" width="6.8515625" style="0" customWidth="1"/>
    <col min="15" max="15" width="6.140625" style="0" customWidth="1"/>
    <col min="16" max="16" width="5.28125" style="0" customWidth="1"/>
    <col min="17" max="17" width="7.00390625" style="0" customWidth="1"/>
    <col min="18" max="18" width="9.28125" style="0" customWidth="1"/>
    <col min="19" max="19" width="9.140625" style="0" customWidth="1"/>
    <col min="20" max="20" width="5.421875" style="0" customWidth="1"/>
    <col min="21" max="21" width="5.28125" style="0" customWidth="1"/>
    <col min="22" max="22" width="5.00390625" style="0" customWidth="1"/>
    <col min="23" max="23" width="5.57421875" style="0" customWidth="1"/>
    <col min="24" max="24" width="5.140625" style="0" customWidth="1"/>
    <col min="25" max="25" width="5.57421875" style="0" customWidth="1"/>
    <col min="26" max="26" width="6.00390625" style="0" customWidth="1"/>
    <col min="27" max="27" width="4.8515625" style="0" customWidth="1"/>
    <col min="28" max="28" width="6.7109375" style="0" customWidth="1"/>
    <col min="29" max="29" width="5.00390625" style="0" customWidth="1"/>
    <col min="30" max="30" width="6.8515625" style="0" customWidth="1"/>
    <col min="31" max="31" width="5.57421875" style="0" customWidth="1"/>
    <col min="32" max="32" width="4.7109375" style="0" customWidth="1"/>
    <col min="33" max="33" width="4.28125" style="0" customWidth="1"/>
    <col min="34" max="34" width="8.28125" style="0" customWidth="1"/>
  </cols>
  <sheetData>
    <row r="1" spans="1:17" ht="18" customHeight="1">
      <c r="A1" s="1"/>
      <c r="B1" s="150" t="s">
        <v>154</v>
      </c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2"/>
      <c r="O1" s="2"/>
      <c r="P1" s="2"/>
      <c r="Q1" s="2"/>
    </row>
    <row r="2" spans="1:17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148"/>
      <c r="M3" s="148"/>
      <c r="N3" s="148"/>
      <c r="O3" s="2"/>
      <c r="P3" s="2"/>
      <c r="Q3" s="2"/>
    </row>
    <row r="4" spans="1:17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</row>
    <row r="7" ht="13.5" thickBot="1"/>
    <row r="8" spans="1:34" ht="26.25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55" t="s">
        <v>104</v>
      </c>
      <c r="G8" s="55" t="s">
        <v>23</v>
      </c>
      <c r="H8" s="55" t="s">
        <v>17</v>
      </c>
      <c r="I8" s="55" t="s">
        <v>105</v>
      </c>
      <c r="J8" s="55" t="s">
        <v>106</v>
      </c>
      <c r="K8" s="55" t="s">
        <v>107</v>
      </c>
      <c r="L8" s="55" t="s">
        <v>108</v>
      </c>
      <c r="M8" s="55" t="s">
        <v>7</v>
      </c>
      <c r="N8" s="55" t="s">
        <v>109</v>
      </c>
      <c r="O8" s="55" t="s">
        <v>110</v>
      </c>
      <c r="P8" s="55" t="s">
        <v>111</v>
      </c>
      <c r="Q8" s="55" t="s">
        <v>112</v>
      </c>
      <c r="R8" s="55" t="s">
        <v>113</v>
      </c>
      <c r="S8" s="55" t="s">
        <v>114</v>
      </c>
      <c r="T8" s="55" t="s">
        <v>115</v>
      </c>
      <c r="U8" s="55" t="s">
        <v>116</v>
      </c>
      <c r="V8" s="55" t="s">
        <v>117</v>
      </c>
      <c r="W8" s="55" t="s">
        <v>118</v>
      </c>
      <c r="X8" s="55" t="s">
        <v>119</v>
      </c>
      <c r="Y8" s="55" t="s">
        <v>120</v>
      </c>
      <c r="Z8" s="55" t="s">
        <v>121</v>
      </c>
      <c r="AA8" s="55" t="s">
        <v>122</v>
      </c>
      <c r="AB8" s="55" t="s">
        <v>123</v>
      </c>
      <c r="AC8" s="55" t="s">
        <v>124</v>
      </c>
      <c r="AD8" s="55" t="s">
        <v>125</v>
      </c>
      <c r="AE8" s="55" t="s">
        <v>126</v>
      </c>
      <c r="AF8" s="55" t="s">
        <v>127</v>
      </c>
      <c r="AG8" s="56" t="s">
        <v>128</v>
      </c>
      <c r="AH8" s="56" t="s">
        <v>161</v>
      </c>
    </row>
    <row r="9" spans="1:34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9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46"/>
    </row>
    <row r="10" spans="2:34" ht="12.75">
      <c r="B10" s="45" t="s">
        <v>91</v>
      </c>
      <c r="C10" s="7">
        <v>1</v>
      </c>
      <c r="D10" s="7">
        <v>1</v>
      </c>
      <c r="E10" s="58" t="s">
        <v>75</v>
      </c>
      <c r="F10" s="61">
        <f>100/'2008 Totals'!AH8*'2008 Totals'!F8</f>
        <v>22.580645161290324</v>
      </c>
      <c r="G10" s="62">
        <f>100/'2008 Totals'!AH8*'2008 Totals'!G8</f>
        <v>0</v>
      </c>
      <c r="H10" s="62">
        <f>100/'2008 Totals'!AH8*'2008 Totals'!H8</f>
        <v>0</v>
      </c>
      <c r="I10" s="62">
        <f>100/'2008 Totals'!AH8*'2008 Totals'!I8</f>
        <v>0.6912442396313364</v>
      </c>
      <c r="J10" s="62">
        <f>100/'2008 Totals'!AH8*'2008 Totals'!J8</f>
        <v>2.7649769585253456</v>
      </c>
      <c r="K10" s="62">
        <f>100/'2008 Totals'!AH8*'2008 Totals'!K8</f>
        <v>0</v>
      </c>
      <c r="L10" s="62">
        <f>100/'2008 Totals'!AH8*'2008 Totals'!L8</f>
        <v>0.2304147465437788</v>
      </c>
      <c r="M10" s="62">
        <f>100/'2008 Totals'!AH8*'2008 Totals'!M8</f>
        <v>20.276497695852534</v>
      </c>
      <c r="N10" s="62">
        <f>100/'2008 Totals'!AH8*'2008 Totals'!N8</f>
        <v>46.08294930875576</v>
      </c>
      <c r="O10" s="62">
        <f>100/'2008 Totals'!AH8*'2008 Totals'!O8</f>
        <v>0.2304147465437788</v>
      </c>
      <c r="P10" s="62">
        <f>100/'2008 Totals'!AH8*'2008 Totals'!P8</f>
        <v>0.4608294930875576</v>
      </c>
      <c r="Q10" s="61">
        <f>100/'2008 Totals'!AH8*'2008 Totals'!Q8</f>
        <v>0</v>
      </c>
      <c r="R10" s="62">
        <f>100/'2008 Totals'!AH8*'2008 Totals'!R8</f>
        <v>5.76036866359447</v>
      </c>
      <c r="S10" s="62">
        <f>100/'2008 Totals'!AH8*'2008 Totals'!S8</f>
        <v>0</v>
      </c>
      <c r="T10" s="62">
        <f>100/'2008 Totals'!AH8*'2008 Totals'!T8</f>
        <v>0</v>
      </c>
      <c r="U10" s="62">
        <f>100/'2008 Totals'!AH8*'2008 Totals'!U8</f>
        <v>0</v>
      </c>
      <c r="V10" s="62">
        <f>100/'2008 Totals'!AH8*'2008 Totals'!V8</f>
        <v>0.2304147465437788</v>
      </c>
      <c r="W10" s="62">
        <f>100/'2008 Totals'!AH8*'2008 Totals'!W8</f>
        <v>0</v>
      </c>
      <c r="X10" s="62">
        <f>100/'2008 Totals'!AH8*'2008 Totals'!X8</f>
        <v>0</v>
      </c>
      <c r="Y10" s="62">
        <f>100/'2008 Totals'!AH8*'2008 Totals'!Y8</f>
        <v>0</v>
      </c>
      <c r="Z10" s="62">
        <f>100/'2008 Totals'!AH8*'2008 Totals'!Z8</f>
        <v>0.2304147465437788</v>
      </c>
      <c r="AA10" s="62">
        <f>100/'2008 Totals'!AH8*'2008 Totals'!AA8</f>
        <v>0</v>
      </c>
      <c r="AB10" s="62">
        <f>100/'2008 Totals'!AH8*'2008 Totals'!AB8</f>
        <v>0</v>
      </c>
      <c r="AC10" s="62">
        <f>100/'2008 Totals'!AH8*'2008 Totals'!AC8</f>
        <v>0</v>
      </c>
      <c r="AD10" s="62">
        <f>100/'2008 Totals'!AH8*'2008 Totals'!AD8</f>
        <v>0</v>
      </c>
      <c r="AE10" s="62">
        <f>100/'2008 Totals'!AH8*'2008 Totals'!AE8</f>
        <v>0</v>
      </c>
      <c r="AF10" s="62">
        <f>100/'2008 Totals'!AH8*'2008 Totals'!AF8</f>
        <v>0</v>
      </c>
      <c r="AG10" s="62">
        <f>100/'2008 Totals'!AH8*'2008 Totals'!AG8</f>
        <v>0.4608294930875576</v>
      </c>
      <c r="AH10" s="65">
        <f>100/'2008 Totals'!AH46*'2008 Totals'!AH8</f>
        <v>2.798375137017216</v>
      </c>
    </row>
    <row r="11" spans="2:34" ht="12.75">
      <c r="B11" s="45" t="s">
        <v>91</v>
      </c>
      <c r="C11" s="7">
        <v>1</v>
      </c>
      <c r="D11" s="7">
        <v>1</v>
      </c>
      <c r="E11" s="58" t="s">
        <v>76</v>
      </c>
      <c r="F11" s="63">
        <f>100/'2008 Totals'!AH9*'2008 Totals'!F9</f>
        <v>21.906693711967545</v>
      </c>
      <c r="G11" s="63">
        <f>100/'2008 Totals'!AH9*'2008 Totals'!G9</f>
        <v>0</v>
      </c>
      <c r="H11" s="63">
        <f>100/'2008 Totals'!AH9*'2008 Totals'!H9</f>
        <v>0</v>
      </c>
      <c r="I11" s="63">
        <f>100/'2008 Totals'!AH9*'2008 Totals'!I9</f>
        <v>0.4056795131845842</v>
      </c>
      <c r="J11" s="63">
        <f>100/'2008 Totals'!AH9*'2008 Totals'!J9</f>
        <v>3.2454361054766734</v>
      </c>
      <c r="K11" s="63">
        <f>100/'2008 Totals'!AH9*'2008 Totals'!K9</f>
        <v>0.2028397565922921</v>
      </c>
      <c r="L11" s="63">
        <f>100/'2008 Totals'!AH9*'2008 Totals'!L9</f>
        <v>0</v>
      </c>
      <c r="M11" s="63">
        <f>100/'2008 Totals'!AH9*'2008 Totals'!M9</f>
        <v>19.878296146044626</v>
      </c>
      <c r="N11" s="63">
        <f>100/'2008 Totals'!AH9*'2008 Totals'!N9</f>
        <v>47.05882352941176</v>
      </c>
      <c r="O11" s="63">
        <f>100/'2008 Totals'!AH9*'2008 Totals'!O9</f>
        <v>0.2028397565922921</v>
      </c>
      <c r="P11" s="63">
        <f>100/'2008 Totals'!AH9*'2008 Totals'!P9</f>
        <v>0</v>
      </c>
      <c r="Q11" s="63">
        <f>100/'2008 Totals'!AH9*'2008 Totals'!Q9</f>
        <v>0</v>
      </c>
      <c r="R11" s="63">
        <f>100/'2008 Totals'!AH9*'2008 Totals'!R9</f>
        <v>6.490872210953347</v>
      </c>
      <c r="S11" s="63">
        <f>100/'2008 Totals'!AH9*'2008 Totals'!S9</f>
        <v>0</v>
      </c>
      <c r="T11" s="63">
        <f>100/'2008 Totals'!AH9*'2008 Totals'!T9</f>
        <v>0</v>
      </c>
      <c r="U11" s="63">
        <f>100/'2008 Totals'!AH9*'2008 Totals'!U9</f>
        <v>0</v>
      </c>
      <c r="V11" s="63">
        <f>100/'2008 Totals'!AH9*'2008 Totals'!V9</f>
        <v>0.2028397565922921</v>
      </c>
      <c r="W11" s="63">
        <f>100/'2008 Totals'!AH9*'2008 Totals'!W9</f>
        <v>0</v>
      </c>
      <c r="X11" s="63">
        <f>100/'2008 Totals'!AH9*'2008 Totals'!X9</f>
        <v>0</v>
      </c>
      <c r="Y11" s="63">
        <f>100/'2008 Totals'!AH9*'2008 Totals'!Y9</f>
        <v>0</v>
      </c>
      <c r="Z11" s="63">
        <f>100/'2008 Totals'!AH9*'2008 Totals'!Z9</f>
        <v>0</v>
      </c>
      <c r="AA11" s="63">
        <f>100/'2008 Totals'!AH9*'2008 Totals'!AA9</f>
        <v>0</v>
      </c>
      <c r="AB11" s="63">
        <f>100/'2008 Totals'!AH9*'2008 Totals'!AB9</f>
        <v>0</v>
      </c>
      <c r="AC11" s="63">
        <f>100/'2008 Totals'!AH9*'2008 Totals'!AC9</f>
        <v>0</v>
      </c>
      <c r="AD11" s="63">
        <f>100/'2008 Totals'!AH9*'2008 Totals'!AD9</f>
        <v>0.2028397565922921</v>
      </c>
      <c r="AE11" s="63">
        <f>100/'2008 Totals'!AH9*'2008 Totals'!AE9</f>
        <v>0</v>
      </c>
      <c r="AF11" s="63">
        <f>100/'2008 Totals'!AH9*'2008 Totals'!AF9</f>
        <v>0</v>
      </c>
      <c r="AG11" s="63">
        <f>100/'2008 Totals'!AH9*'2008 Totals'!AG9</f>
        <v>0.2028397565922921</v>
      </c>
      <c r="AH11" s="65">
        <f>100/'2008 Totals'!AH46*'2008 Totals'!AH9</f>
        <v>3.178799406796054</v>
      </c>
    </row>
    <row r="12" spans="2:34" ht="12.75">
      <c r="B12" s="45" t="s">
        <v>91</v>
      </c>
      <c r="C12" s="7">
        <v>1</v>
      </c>
      <c r="D12" s="7">
        <v>1</v>
      </c>
      <c r="E12" s="58" t="s">
        <v>92</v>
      </c>
      <c r="F12" s="63">
        <f>100/'2008 Totals'!AH10*'2008 Totals'!F10</f>
        <v>27.272727272727273</v>
      </c>
      <c r="G12" s="63">
        <f>100/'2008 Totals'!AH10*'2008 Totals'!G10</f>
        <v>0</v>
      </c>
      <c r="H12" s="63">
        <f>100/'2008 Totals'!AH10*'2008 Totals'!H10</f>
        <v>0</v>
      </c>
      <c r="I12" s="63">
        <f>100/'2008 Totals'!AH10*'2008 Totals'!I10</f>
        <v>0.4132231404958678</v>
      </c>
      <c r="J12" s="63">
        <f>100/'2008 Totals'!AH10*'2008 Totals'!J10</f>
        <v>1.859504132231405</v>
      </c>
      <c r="K12" s="63">
        <f>100/'2008 Totals'!AH10*'2008 Totals'!K10</f>
        <v>0</v>
      </c>
      <c r="L12" s="63">
        <f>100/'2008 Totals'!AH10*'2008 Totals'!L10</f>
        <v>0</v>
      </c>
      <c r="M12" s="63">
        <f>100/'2008 Totals'!AH10*'2008 Totals'!M10</f>
        <v>18.801652892561982</v>
      </c>
      <c r="N12" s="63">
        <f>100/'2008 Totals'!AH10*'2008 Totals'!N10</f>
        <v>46.28099173553719</v>
      </c>
      <c r="O12" s="63">
        <f>100/'2008 Totals'!AH10*'2008 Totals'!O10</f>
        <v>0</v>
      </c>
      <c r="P12" s="63">
        <f>100/'2008 Totals'!AH10*'2008 Totals'!P10</f>
        <v>0</v>
      </c>
      <c r="Q12" s="63">
        <f>100/'2008 Totals'!AH10*'2008 Totals'!Q10</f>
        <v>0</v>
      </c>
      <c r="R12" s="63">
        <f>100/'2008 Totals'!AH10*'2008 Totals'!R10</f>
        <v>4.75206611570248</v>
      </c>
      <c r="S12" s="63">
        <f>100/'2008 Totals'!AH10*'2008 Totals'!S10</f>
        <v>0.2066115702479339</v>
      </c>
      <c r="T12" s="63">
        <f>100/'2008 Totals'!AH10*'2008 Totals'!T10</f>
        <v>0</v>
      </c>
      <c r="U12" s="63">
        <f>100/'2008 Totals'!AH10*'2008 Totals'!U10</f>
        <v>0.2066115702479339</v>
      </c>
      <c r="V12" s="63">
        <f>100/'2008 Totals'!AH10*'2008 Totals'!V10</f>
        <v>0</v>
      </c>
      <c r="W12" s="63">
        <f>100/'2008 Totals'!AH10*'2008 Totals'!W10</f>
        <v>0</v>
      </c>
      <c r="X12" s="63">
        <f>100/'2008 Totals'!AH10*'2008 Totals'!X10</f>
        <v>0</v>
      </c>
      <c r="Y12" s="63">
        <f>100/'2008 Totals'!AH10*'2008 Totals'!Y10</f>
        <v>0</v>
      </c>
      <c r="Z12" s="63">
        <f>100/'2008 Totals'!AH10*'2008 Totals'!Z10</f>
        <v>0</v>
      </c>
      <c r="AA12" s="63">
        <f>100/'2008 Totals'!AH10*'2008 Totals'!AA10</f>
        <v>0</v>
      </c>
      <c r="AB12" s="63">
        <f>100/'2008 Totals'!AH10*'2008 Totals'!AB10</f>
        <v>0.2066115702479339</v>
      </c>
      <c r="AC12" s="63">
        <f>100/'2008 Totals'!AH10*'2008 Totals'!AC10</f>
        <v>0</v>
      </c>
      <c r="AD12" s="63">
        <f>100/'2008 Totals'!AH10*'2008 Totals'!AD10</f>
        <v>0</v>
      </c>
      <c r="AE12" s="63">
        <f>100/'2008 Totals'!AH10*'2008 Totals'!AE10</f>
        <v>0</v>
      </c>
      <c r="AF12" s="63">
        <f>100/'2008 Totals'!AH10*'2008 Totals'!AF10</f>
        <v>0</v>
      </c>
      <c r="AG12" s="63">
        <f>100/'2008 Totals'!AH10*'2008 Totals'!AG10</f>
        <v>0</v>
      </c>
      <c r="AH12" s="65">
        <f>100/'2008 Totals'!AH46*'2008 Totals'!AH10</f>
        <v>3.120768585982333</v>
      </c>
    </row>
    <row r="13" spans="2:34" ht="12.75">
      <c r="B13" s="45" t="s">
        <v>93</v>
      </c>
      <c r="C13" s="7">
        <v>1</v>
      </c>
      <c r="D13" s="7">
        <v>2</v>
      </c>
      <c r="E13" s="58" t="s">
        <v>78</v>
      </c>
      <c r="F13" s="63">
        <f>100/'2008 Totals'!AH11*'2008 Totals'!F11</f>
        <v>30.87649402390438</v>
      </c>
      <c r="G13" s="63">
        <f>100/'2008 Totals'!AH11*'2008 Totals'!G11</f>
        <v>0</v>
      </c>
      <c r="H13" s="63">
        <f>100/'2008 Totals'!AH11*'2008 Totals'!H11</f>
        <v>0.199203187250996</v>
      </c>
      <c r="I13" s="63">
        <f>100/'2008 Totals'!AH11*'2008 Totals'!I11</f>
        <v>0.398406374501992</v>
      </c>
      <c r="J13" s="63">
        <f>100/'2008 Totals'!AH11*'2008 Totals'!J11</f>
        <v>3.9840637450199203</v>
      </c>
      <c r="K13" s="63">
        <f>100/'2008 Totals'!AH11*'2008 Totals'!K11</f>
        <v>0</v>
      </c>
      <c r="L13" s="63">
        <f>100/'2008 Totals'!AH11*'2008 Totals'!L11</f>
        <v>0.199203187250996</v>
      </c>
      <c r="M13" s="63">
        <f>100/'2008 Totals'!AH11*'2008 Totals'!M11</f>
        <v>12.151394422310757</v>
      </c>
      <c r="N13" s="63">
        <f>100/'2008 Totals'!AH11*'2008 Totals'!N11</f>
        <v>40.0398406374502</v>
      </c>
      <c r="O13" s="63">
        <f>100/'2008 Totals'!AH11*'2008 Totals'!O11</f>
        <v>0</v>
      </c>
      <c r="P13" s="63">
        <f>100/'2008 Totals'!AH11*'2008 Totals'!P11</f>
        <v>0</v>
      </c>
      <c r="Q13" s="63">
        <f>100/'2008 Totals'!AH11*'2008 Totals'!Q11</f>
        <v>0</v>
      </c>
      <c r="R13" s="63">
        <f>100/'2008 Totals'!AH11*'2008 Totals'!R11</f>
        <v>10.557768924302788</v>
      </c>
      <c r="S13" s="63">
        <f>100/'2008 Totals'!AH11*'2008 Totals'!S11</f>
        <v>0.199203187250996</v>
      </c>
      <c r="T13" s="63">
        <f>100/'2008 Totals'!AH11*'2008 Totals'!T11</f>
        <v>0.199203187250996</v>
      </c>
      <c r="U13" s="63">
        <f>100/'2008 Totals'!AH11*'2008 Totals'!U11</f>
        <v>0.199203187250996</v>
      </c>
      <c r="V13" s="63">
        <f>100/'2008 Totals'!AH11*'2008 Totals'!V11</f>
        <v>0.398406374501992</v>
      </c>
      <c r="W13" s="63">
        <f>100/'2008 Totals'!AH11*'2008 Totals'!W11</f>
        <v>0</v>
      </c>
      <c r="X13" s="63">
        <f>100/'2008 Totals'!AH11*'2008 Totals'!X11</f>
        <v>0</v>
      </c>
      <c r="Y13" s="63">
        <f>100/'2008 Totals'!AH11*'2008 Totals'!Y11</f>
        <v>0</v>
      </c>
      <c r="Z13" s="63">
        <f>100/'2008 Totals'!AH11*'2008 Totals'!Z11</f>
        <v>0</v>
      </c>
      <c r="AA13" s="63">
        <f>100/'2008 Totals'!AH11*'2008 Totals'!AA11</f>
        <v>0</v>
      </c>
      <c r="AB13" s="63">
        <f>100/'2008 Totals'!AH11*'2008 Totals'!AB11</f>
        <v>0</v>
      </c>
      <c r="AC13" s="63">
        <f>100/'2008 Totals'!AH11*'2008 Totals'!AC11</f>
        <v>0</v>
      </c>
      <c r="AD13" s="63">
        <f>100/'2008 Totals'!AH11*'2008 Totals'!AD11</f>
        <v>0</v>
      </c>
      <c r="AE13" s="63">
        <f>100/'2008 Totals'!AH11*'2008 Totals'!AE11</f>
        <v>0</v>
      </c>
      <c r="AF13" s="63">
        <f>100/'2008 Totals'!AH11*'2008 Totals'!AF11</f>
        <v>0</v>
      </c>
      <c r="AG13" s="63">
        <f>100/'2008 Totals'!AH11*'2008 Totals'!AG11</f>
        <v>0.597609561752988</v>
      </c>
      <c r="AH13" s="65">
        <f>100/'2008 Totals'!AH46*'2008 Totals'!AH11</f>
        <v>3.236830227609775</v>
      </c>
    </row>
    <row r="14" spans="2:34" ht="12.75">
      <c r="B14" s="45" t="s">
        <v>94</v>
      </c>
      <c r="C14" s="7">
        <v>2</v>
      </c>
      <c r="D14" s="7">
        <v>1</v>
      </c>
      <c r="E14" s="58" t="s">
        <v>78</v>
      </c>
      <c r="F14" s="63">
        <f>100/'2008 Totals'!AH12*'2008 Totals'!F12</f>
        <v>29.74051896207585</v>
      </c>
      <c r="G14" s="63">
        <f>100/'2008 Totals'!AH12*'2008 Totals'!G12</f>
        <v>0</v>
      </c>
      <c r="H14" s="63">
        <f>100/'2008 Totals'!AH12*'2008 Totals'!H12</f>
        <v>0</v>
      </c>
      <c r="I14" s="63">
        <f>100/'2008 Totals'!AH12*'2008 Totals'!I12</f>
        <v>0</v>
      </c>
      <c r="J14" s="63">
        <f>100/'2008 Totals'!AH12*'2008 Totals'!J12</f>
        <v>2.1956087824351296</v>
      </c>
      <c r="K14" s="63">
        <f>100/'2008 Totals'!AH12*'2008 Totals'!K12</f>
        <v>0</v>
      </c>
      <c r="L14" s="63">
        <f>100/'2008 Totals'!AH12*'2008 Totals'!L12</f>
        <v>0</v>
      </c>
      <c r="M14" s="63">
        <f>100/'2008 Totals'!AH12*'2008 Totals'!M12</f>
        <v>16.367265469061877</v>
      </c>
      <c r="N14" s="63">
        <f>100/'2008 Totals'!AH12*'2008 Totals'!N12</f>
        <v>41.516966067864274</v>
      </c>
      <c r="O14" s="63">
        <f>100/'2008 Totals'!AH12*'2008 Totals'!O12</f>
        <v>0</v>
      </c>
      <c r="P14" s="63">
        <f>100/'2008 Totals'!AH12*'2008 Totals'!P12</f>
        <v>0</v>
      </c>
      <c r="Q14" s="63">
        <f>100/'2008 Totals'!AH12*'2008 Totals'!Q12</f>
        <v>0.3992015968063872</v>
      </c>
      <c r="R14" s="63">
        <f>100/'2008 Totals'!AH12*'2008 Totals'!R12</f>
        <v>9.181636726546905</v>
      </c>
      <c r="S14" s="63">
        <f>100/'2008 Totals'!AH12*'2008 Totals'!S12</f>
        <v>0</v>
      </c>
      <c r="T14" s="63">
        <f>100/'2008 Totals'!AH12*'2008 Totals'!T12</f>
        <v>0</v>
      </c>
      <c r="U14" s="63">
        <f>100/'2008 Totals'!AH12*'2008 Totals'!U12</f>
        <v>0</v>
      </c>
      <c r="V14" s="63">
        <f>100/'2008 Totals'!AH12*'2008 Totals'!V12</f>
        <v>0</v>
      </c>
      <c r="W14" s="63">
        <f>100/'2008 Totals'!AH12*'2008 Totals'!W12</f>
        <v>0</v>
      </c>
      <c r="X14" s="63">
        <f>100/'2008 Totals'!AH12*'2008 Totals'!X12</f>
        <v>0</v>
      </c>
      <c r="Y14" s="63">
        <f>100/'2008 Totals'!AH12*'2008 Totals'!Y12</f>
        <v>0</v>
      </c>
      <c r="Z14" s="63">
        <f>100/'2008 Totals'!AH12*'2008 Totals'!Z12</f>
        <v>0</v>
      </c>
      <c r="AA14" s="63">
        <f>100/'2008 Totals'!AH12*'2008 Totals'!AA12</f>
        <v>0</v>
      </c>
      <c r="AB14" s="63">
        <f>100/'2008 Totals'!AH12*'2008 Totals'!AB12</f>
        <v>0</v>
      </c>
      <c r="AC14" s="63">
        <f>100/'2008 Totals'!AH12*'2008 Totals'!AC12</f>
        <v>0</v>
      </c>
      <c r="AD14" s="63">
        <f>100/'2008 Totals'!AH12*'2008 Totals'!AD12</f>
        <v>0</v>
      </c>
      <c r="AE14" s="63">
        <f>100/'2008 Totals'!AH12*'2008 Totals'!AE12</f>
        <v>0.3992015968063872</v>
      </c>
      <c r="AF14" s="63">
        <f>100/'2008 Totals'!AH12*'2008 Totals'!AF12</f>
        <v>0</v>
      </c>
      <c r="AG14" s="63">
        <f>100/'2008 Totals'!AH12*'2008 Totals'!AG12</f>
        <v>0.1996007984031936</v>
      </c>
      <c r="AH14" s="65">
        <f>100/'2008 Totals'!AH46*'2008 Totals'!AH12</f>
        <v>3.2303823586304725</v>
      </c>
    </row>
    <row r="15" spans="2:34" ht="12.75">
      <c r="B15" s="45" t="s">
        <v>94</v>
      </c>
      <c r="C15" s="7">
        <v>2</v>
      </c>
      <c r="D15" s="7">
        <v>2</v>
      </c>
      <c r="E15" s="58" t="s">
        <v>75</v>
      </c>
      <c r="F15" s="63">
        <f>100/'2008 Totals'!AH13*'2008 Totals'!F13</f>
        <v>22.448979591836736</v>
      </c>
      <c r="G15" s="63">
        <f>100/'2008 Totals'!AH13*'2008 Totals'!G13</f>
        <v>0.2915451895043732</v>
      </c>
      <c r="H15" s="63">
        <f>100/'2008 Totals'!AH13*'2008 Totals'!H13</f>
        <v>0</v>
      </c>
      <c r="I15" s="63">
        <f>100/'2008 Totals'!AH13*'2008 Totals'!I13</f>
        <v>0</v>
      </c>
      <c r="J15" s="63">
        <f>100/'2008 Totals'!AH13*'2008 Totals'!J13</f>
        <v>2.0408163265306123</v>
      </c>
      <c r="K15" s="63">
        <f>100/'2008 Totals'!AH13*'2008 Totals'!K13</f>
        <v>0.2915451895043732</v>
      </c>
      <c r="L15" s="63">
        <f>100/'2008 Totals'!AH13*'2008 Totals'!L13</f>
        <v>0</v>
      </c>
      <c r="M15" s="63">
        <f>100/'2008 Totals'!AH13*'2008 Totals'!M13</f>
        <v>17.20116618075802</v>
      </c>
      <c r="N15" s="63">
        <f>100/'2008 Totals'!AH13*'2008 Totals'!N13</f>
        <v>48.9795918367347</v>
      </c>
      <c r="O15" s="63">
        <f>100/'2008 Totals'!AH13*'2008 Totals'!O13</f>
        <v>0</v>
      </c>
      <c r="P15" s="63">
        <f>100/'2008 Totals'!AH13*'2008 Totals'!P13</f>
        <v>0</v>
      </c>
      <c r="Q15" s="63">
        <f>100/'2008 Totals'!AH13*'2008 Totals'!Q13</f>
        <v>0</v>
      </c>
      <c r="R15" s="63">
        <f>100/'2008 Totals'!AH13*'2008 Totals'!R13</f>
        <v>8.746355685131196</v>
      </c>
      <c r="S15" s="63">
        <f>100/'2008 Totals'!AH13*'2008 Totals'!S13</f>
        <v>0</v>
      </c>
      <c r="T15" s="63">
        <f>100/'2008 Totals'!AH13*'2008 Totals'!T13</f>
        <v>0</v>
      </c>
      <c r="U15" s="63">
        <f>100/'2008 Totals'!AH13*'2008 Totals'!U13</f>
        <v>0</v>
      </c>
      <c r="V15" s="63">
        <f>100/'2008 Totals'!AH13*'2008 Totals'!V13</f>
        <v>0</v>
      </c>
      <c r="W15" s="63">
        <f>100/'2008 Totals'!AH13*'2008 Totals'!W13</f>
        <v>0</v>
      </c>
      <c r="X15" s="63">
        <f>100/'2008 Totals'!AH13*'2008 Totals'!X13</f>
        <v>0</v>
      </c>
      <c r="Y15" s="63">
        <f>100/'2008 Totals'!AH13*'2008 Totals'!Y13</f>
        <v>0</v>
      </c>
      <c r="Z15" s="63">
        <f>100/'2008 Totals'!AH13*'2008 Totals'!Z13</f>
        <v>0</v>
      </c>
      <c r="AA15" s="63">
        <f>100/'2008 Totals'!AH13*'2008 Totals'!AA13</f>
        <v>0</v>
      </c>
      <c r="AB15" s="63">
        <f>100/'2008 Totals'!AH13*'2008 Totals'!AB13</f>
        <v>0</v>
      </c>
      <c r="AC15" s="63">
        <f>100/'2008 Totals'!AH13*'2008 Totals'!AC13</f>
        <v>0</v>
      </c>
      <c r="AD15" s="63">
        <f>100/'2008 Totals'!AH13*'2008 Totals'!AD13</f>
        <v>0</v>
      </c>
      <c r="AE15" s="63">
        <f>100/'2008 Totals'!AH13*'2008 Totals'!AE13</f>
        <v>0</v>
      </c>
      <c r="AF15" s="63">
        <f>100/'2008 Totals'!AH13*'2008 Totals'!AF13</f>
        <v>0</v>
      </c>
      <c r="AG15" s="63">
        <f>100/'2008 Totals'!AH13*'2008 Totals'!AG13</f>
        <v>0</v>
      </c>
      <c r="AH15" s="65">
        <f>100/'2008 Totals'!AH46*'2008 Totals'!AH13</f>
        <v>2.211619059900703</v>
      </c>
    </row>
    <row r="16" spans="2:34" ht="12.75">
      <c r="B16" s="45" t="s">
        <v>94</v>
      </c>
      <c r="C16" s="7">
        <v>2</v>
      </c>
      <c r="D16" s="7">
        <v>2</v>
      </c>
      <c r="E16" s="58" t="s">
        <v>76</v>
      </c>
      <c r="F16" s="63">
        <f>100/'2008 Totals'!AH14*'2008 Totals'!F14</f>
        <v>24.678111587982833</v>
      </c>
      <c r="G16" s="63">
        <f>100/'2008 Totals'!AH14*'2008 Totals'!G14</f>
        <v>0</v>
      </c>
      <c r="H16" s="63">
        <f>100/'2008 Totals'!AH14*'2008 Totals'!H14</f>
        <v>0.2145922746781116</v>
      </c>
      <c r="I16" s="63">
        <f>100/'2008 Totals'!AH14*'2008 Totals'!I14</f>
        <v>0.4291845493562232</v>
      </c>
      <c r="J16" s="63">
        <f>100/'2008 Totals'!AH14*'2008 Totals'!J14</f>
        <v>1.9313304721030042</v>
      </c>
      <c r="K16" s="63">
        <f>100/'2008 Totals'!AH14*'2008 Totals'!K14</f>
        <v>0.2145922746781116</v>
      </c>
      <c r="L16" s="63">
        <f>100/'2008 Totals'!AH14*'2008 Totals'!L14</f>
        <v>0.2145922746781116</v>
      </c>
      <c r="M16" s="63">
        <f>100/'2008 Totals'!AH14*'2008 Totals'!M14</f>
        <v>15.450643776824034</v>
      </c>
      <c r="N16" s="63">
        <f>100/'2008 Totals'!AH14*'2008 Totals'!N14</f>
        <v>46.78111587982833</v>
      </c>
      <c r="O16" s="63">
        <f>100/'2008 Totals'!AH14*'2008 Totals'!O14</f>
        <v>0</v>
      </c>
      <c r="P16" s="63">
        <f>100/'2008 Totals'!AH14*'2008 Totals'!P14</f>
        <v>0</v>
      </c>
      <c r="Q16" s="63">
        <f>100/'2008 Totals'!AH14*'2008 Totals'!Q14</f>
        <v>0</v>
      </c>
      <c r="R16" s="63">
        <f>100/'2008 Totals'!AH14*'2008 Totals'!R14</f>
        <v>9.656652360515022</v>
      </c>
      <c r="S16" s="63">
        <f>100/'2008 Totals'!AH14*'2008 Totals'!S14</f>
        <v>0</v>
      </c>
      <c r="T16" s="63">
        <f>100/'2008 Totals'!AH14*'2008 Totals'!T14</f>
        <v>0.2145922746781116</v>
      </c>
      <c r="U16" s="63">
        <f>100/'2008 Totals'!AH14*'2008 Totals'!U14</f>
        <v>0</v>
      </c>
      <c r="V16" s="63">
        <f>100/'2008 Totals'!AH14*'2008 Totals'!V14</f>
        <v>0.2145922746781116</v>
      </c>
      <c r="W16" s="63">
        <f>100/'2008 Totals'!AH14*'2008 Totals'!W14</f>
        <v>0</v>
      </c>
      <c r="X16" s="63">
        <f>100/'2008 Totals'!AH14*'2008 Totals'!X14</f>
        <v>0</v>
      </c>
      <c r="Y16" s="63">
        <f>100/'2008 Totals'!AH14*'2008 Totals'!Y14</f>
        <v>0</v>
      </c>
      <c r="Z16" s="63">
        <f>100/'2008 Totals'!AH14*'2008 Totals'!Z14</f>
        <v>0</v>
      </c>
      <c r="AA16" s="63">
        <f>100/'2008 Totals'!AH14*'2008 Totals'!AA14</f>
        <v>0</v>
      </c>
      <c r="AB16" s="63">
        <f>100/'2008 Totals'!AH14*'2008 Totals'!AB14</f>
        <v>0</v>
      </c>
      <c r="AC16" s="63">
        <f>100/'2008 Totals'!AH14*'2008 Totals'!AC14</f>
        <v>0</v>
      </c>
      <c r="AD16" s="63">
        <f>100/'2008 Totals'!AH14*'2008 Totals'!AD14</f>
        <v>0</v>
      </c>
      <c r="AE16" s="63">
        <f>100/'2008 Totals'!AH14*'2008 Totals'!AE14</f>
        <v>0</v>
      </c>
      <c r="AF16" s="63">
        <f>100/'2008 Totals'!AH14*'2008 Totals'!AF14</f>
        <v>0</v>
      </c>
      <c r="AG16" s="63">
        <f>100/'2008 Totals'!AH14*'2008 Totals'!AG14</f>
        <v>0</v>
      </c>
      <c r="AH16" s="65">
        <f>100/'2008 Totals'!AH46*'2008 Totals'!AH14</f>
        <v>3.004706944354891</v>
      </c>
    </row>
    <row r="17" spans="2:34" ht="12.75">
      <c r="B17" s="45" t="s">
        <v>91</v>
      </c>
      <c r="C17" s="7">
        <v>2</v>
      </c>
      <c r="D17" s="7">
        <v>3</v>
      </c>
      <c r="E17" s="58" t="s">
        <v>75</v>
      </c>
      <c r="F17" s="63">
        <f>100/'2008 Totals'!AH15*'2008 Totals'!F15</f>
        <v>15.66265060240964</v>
      </c>
      <c r="G17" s="63">
        <f>100/'2008 Totals'!AH15*'2008 Totals'!G15</f>
        <v>0</v>
      </c>
      <c r="H17" s="63">
        <f>100/'2008 Totals'!AH15*'2008 Totals'!H15</f>
        <v>0</v>
      </c>
      <c r="I17" s="63">
        <f>100/'2008 Totals'!AH15*'2008 Totals'!I15</f>
        <v>0.6024096385542169</v>
      </c>
      <c r="J17" s="63">
        <f>100/'2008 Totals'!AH15*'2008 Totals'!J15</f>
        <v>3.6144578313253017</v>
      </c>
      <c r="K17" s="63">
        <f>100/'2008 Totals'!AH15*'2008 Totals'!K15</f>
        <v>0.30120481927710846</v>
      </c>
      <c r="L17" s="63">
        <f>100/'2008 Totals'!AH15*'2008 Totals'!L15</f>
        <v>0</v>
      </c>
      <c r="M17" s="63">
        <f>100/'2008 Totals'!AH15*'2008 Totals'!M15</f>
        <v>25.60240963855422</v>
      </c>
      <c r="N17" s="63">
        <f>100/'2008 Totals'!AH15*'2008 Totals'!N15</f>
        <v>47.28915662650603</v>
      </c>
      <c r="O17" s="63">
        <f>100/'2008 Totals'!AH15*'2008 Totals'!O15</f>
        <v>0</v>
      </c>
      <c r="P17" s="63">
        <f>100/'2008 Totals'!AH15*'2008 Totals'!P15</f>
        <v>0</v>
      </c>
      <c r="Q17" s="63">
        <f>100/'2008 Totals'!AH15*'2008 Totals'!Q15</f>
        <v>0</v>
      </c>
      <c r="R17" s="63">
        <f>100/'2008 Totals'!AH15*'2008 Totals'!R15</f>
        <v>5.72289156626506</v>
      </c>
      <c r="S17" s="63">
        <f>100/'2008 Totals'!AH15*'2008 Totals'!S15</f>
        <v>0.30120481927710846</v>
      </c>
      <c r="T17" s="63">
        <f>100/'2008 Totals'!AH15*'2008 Totals'!T15</f>
        <v>0</v>
      </c>
      <c r="U17" s="63">
        <f>100/'2008 Totals'!AH15*'2008 Totals'!U15</f>
        <v>0</v>
      </c>
      <c r="V17" s="63">
        <f>100/'2008 Totals'!AH15*'2008 Totals'!V15</f>
        <v>0</v>
      </c>
      <c r="W17" s="63">
        <f>100/'2008 Totals'!AH15*'2008 Totals'!W15</f>
        <v>0</v>
      </c>
      <c r="X17" s="63">
        <f>100/'2008 Totals'!AH15*'2008 Totals'!X15</f>
        <v>0.30120481927710846</v>
      </c>
      <c r="Y17" s="63">
        <f>100/'2008 Totals'!AH15*'2008 Totals'!Y15</f>
        <v>0</v>
      </c>
      <c r="Z17" s="63">
        <f>100/'2008 Totals'!AH15*'2008 Totals'!Z15</f>
        <v>0</v>
      </c>
      <c r="AA17" s="63">
        <f>100/'2008 Totals'!AH15*'2008 Totals'!AA15</f>
        <v>0.30120481927710846</v>
      </c>
      <c r="AB17" s="63">
        <f>100/'2008 Totals'!AH15*'2008 Totals'!AB15</f>
        <v>0</v>
      </c>
      <c r="AC17" s="63">
        <f>100/'2008 Totals'!AH15*'2008 Totals'!AC15</f>
        <v>0</v>
      </c>
      <c r="AD17" s="63">
        <f>100/'2008 Totals'!AH15*'2008 Totals'!AD15</f>
        <v>0</v>
      </c>
      <c r="AE17" s="63">
        <f>100/'2008 Totals'!AH15*'2008 Totals'!AE15</f>
        <v>0</v>
      </c>
      <c r="AF17" s="63">
        <f>100/'2008 Totals'!AH15*'2008 Totals'!AF15</f>
        <v>0</v>
      </c>
      <c r="AG17" s="63">
        <f>100/'2008 Totals'!AH15*'2008 Totals'!AG15</f>
        <v>0.30120481927710846</v>
      </c>
      <c r="AH17" s="65">
        <f>100/'2008 Totals'!AH46*'2008 Totals'!AH15</f>
        <v>2.140692501128377</v>
      </c>
    </row>
    <row r="18" spans="2:34" ht="12.75">
      <c r="B18" s="45" t="s">
        <v>91</v>
      </c>
      <c r="C18" s="7">
        <v>2</v>
      </c>
      <c r="D18" s="7">
        <v>3</v>
      </c>
      <c r="E18" s="58" t="s">
        <v>76</v>
      </c>
      <c r="F18" s="63">
        <f>100/'2008 Totals'!AH16*'2008 Totals'!F16</f>
        <v>15.542521994134898</v>
      </c>
      <c r="G18" s="63">
        <f>100/'2008 Totals'!AH16*'2008 Totals'!G16</f>
        <v>0</v>
      </c>
      <c r="H18" s="63">
        <f>100/'2008 Totals'!AH16*'2008 Totals'!H16</f>
        <v>0</v>
      </c>
      <c r="I18" s="63">
        <f>100/'2008 Totals'!AH16*'2008 Totals'!I16</f>
        <v>0.2932551319648094</v>
      </c>
      <c r="J18" s="63">
        <f>100/'2008 Totals'!AH16*'2008 Totals'!J16</f>
        <v>1.466275659824047</v>
      </c>
      <c r="K18" s="63">
        <f>100/'2008 Totals'!AH16*'2008 Totals'!K16</f>
        <v>0</v>
      </c>
      <c r="L18" s="63">
        <f>100/'2008 Totals'!AH16*'2008 Totals'!L16</f>
        <v>0</v>
      </c>
      <c r="M18" s="63">
        <f>100/'2008 Totals'!AH16*'2008 Totals'!M16</f>
        <v>20.82111436950147</v>
      </c>
      <c r="N18" s="63">
        <f>100/'2008 Totals'!AH16*'2008 Totals'!N16</f>
        <v>55.71847507331378</v>
      </c>
      <c r="O18" s="63">
        <f>100/'2008 Totals'!AH16*'2008 Totals'!O16</f>
        <v>0</v>
      </c>
      <c r="P18" s="63">
        <f>100/'2008 Totals'!AH16*'2008 Totals'!P16</f>
        <v>0</v>
      </c>
      <c r="Q18" s="63">
        <f>100/'2008 Totals'!AH16*'2008 Totals'!Q16</f>
        <v>0.2932551319648094</v>
      </c>
      <c r="R18" s="63">
        <f>100/'2008 Totals'!AH16*'2008 Totals'!R16</f>
        <v>4.398826979472141</v>
      </c>
      <c r="S18" s="63">
        <f>100/'2008 Totals'!AH16*'2008 Totals'!S16</f>
        <v>0</v>
      </c>
      <c r="T18" s="63">
        <f>100/'2008 Totals'!AH16*'2008 Totals'!T16</f>
        <v>0.2932551319648094</v>
      </c>
      <c r="U18" s="63">
        <f>100/'2008 Totals'!AH16*'2008 Totals'!U16</f>
        <v>0</v>
      </c>
      <c r="V18" s="63">
        <f>100/'2008 Totals'!AH16*'2008 Totals'!V16</f>
        <v>0</v>
      </c>
      <c r="W18" s="63">
        <f>100/'2008 Totals'!AH16*'2008 Totals'!W16</f>
        <v>0</v>
      </c>
      <c r="X18" s="63">
        <f>100/'2008 Totals'!AH16*'2008 Totals'!X16</f>
        <v>0</v>
      </c>
      <c r="Y18" s="63">
        <f>100/'2008 Totals'!AH16*'2008 Totals'!Y16</f>
        <v>0</v>
      </c>
      <c r="Z18" s="63">
        <f>100/'2008 Totals'!AH16*'2008 Totals'!Z16</f>
        <v>0</v>
      </c>
      <c r="AA18" s="63">
        <f>100/'2008 Totals'!AH16*'2008 Totals'!AA16</f>
        <v>0</v>
      </c>
      <c r="AB18" s="63">
        <f>100/'2008 Totals'!AH16*'2008 Totals'!AB16</f>
        <v>0</v>
      </c>
      <c r="AC18" s="63">
        <f>100/'2008 Totals'!AH16*'2008 Totals'!AC16</f>
        <v>0</v>
      </c>
      <c r="AD18" s="63">
        <f>100/'2008 Totals'!AH16*'2008 Totals'!AD16</f>
        <v>0</v>
      </c>
      <c r="AE18" s="63">
        <f>100/'2008 Totals'!AH16*'2008 Totals'!AE16</f>
        <v>0.2932551319648094</v>
      </c>
      <c r="AF18" s="63">
        <f>100/'2008 Totals'!AH16*'2008 Totals'!AF16</f>
        <v>0</v>
      </c>
      <c r="AG18" s="63">
        <f>100/'2008 Totals'!AH16*'2008 Totals'!AG16</f>
        <v>0.8797653958944283</v>
      </c>
      <c r="AH18" s="65">
        <f>100/'2008 Totals'!AH46*'2008 Totals'!AH16</f>
        <v>2.198723321942098</v>
      </c>
    </row>
    <row r="19" spans="2:34" ht="12.75">
      <c r="B19" s="45" t="s">
        <v>91</v>
      </c>
      <c r="C19" s="7">
        <v>2</v>
      </c>
      <c r="D19" s="7">
        <v>3</v>
      </c>
      <c r="E19" s="58" t="s">
        <v>92</v>
      </c>
      <c r="F19" s="63">
        <f>100/'2008 Totals'!AH17*'2008 Totals'!F17</f>
        <v>15.957446808510639</v>
      </c>
      <c r="G19" s="63">
        <f>100/'2008 Totals'!AH17*'2008 Totals'!G17</f>
        <v>0</v>
      </c>
      <c r="H19" s="63">
        <f>100/'2008 Totals'!AH17*'2008 Totals'!H17</f>
        <v>0</v>
      </c>
      <c r="I19" s="63">
        <f>100/'2008 Totals'!AH17*'2008 Totals'!I17</f>
        <v>1.3297872340425532</v>
      </c>
      <c r="J19" s="63">
        <f>100/'2008 Totals'!AH17*'2008 Totals'!J17</f>
        <v>2.3936170212765955</v>
      </c>
      <c r="K19" s="63">
        <f>100/'2008 Totals'!AH17*'2008 Totals'!K17</f>
        <v>0</v>
      </c>
      <c r="L19" s="63">
        <f>100/'2008 Totals'!AH17*'2008 Totals'!L17</f>
        <v>0.26595744680851063</v>
      </c>
      <c r="M19" s="63">
        <f>100/'2008 Totals'!AH17*'2008 Totals'!M17</f>
        <v>19.148936170212764</v>
      </c>
      <c r="N19" s="63">
        <f>100/'2008 Totals'!AH17*'2008 Totals'!N17</f>
        <v>52.12765957446808</v>
      </c>
      <c r="O19" s="63">
        <f>100/'2008 Totals'!AH17*'2008 Totals'!O17</f>
        <v>0</v>
      </c>
      <c r="P19" s="63">
        <f>100/'2008 Totals'!AH17*'2008 Totals'!P17</f>
        <v>0.26595744680851063</v>
      </c>
      <c r="Q19" s="63">
        <f>100/'2008 Totals'!AH17*'2008 Totals'!Q17</f>
        <v>0</v>
      </c>
      <c r="R19" s="63">
        <f>100/'2008 Totals'!AH17*'2008 Totals'!R17</f>
        <v>7.712765957446808</v>
      </c>
      <c r="S19" s="63">
        <f>100/'2008 Totals'!AH17*'2008 Totals'!S17</f>
        <v>0.26595744680851063</v>
      </c>
      <c r="T19" s="63">
        <f>100/'2008 Totals'!AH17*'2008 Totals'!T17</f>
        <v>0</v>
      </c>
      <c r="U19" s="63">
        <f>100/'2008 Totals'!AH17*'2008 Totals'!U17</f>
        <v>0</v>
      </c>
      <c r="V19" s="63">
        <f>100/'2008 Totals'!AH17*'2008 Totals'!V17</f>
        <v>0</v>
      </c>
      <c r="W19" s="63">
        <f>100/'2008 Totals'!AH17*'2008 Totals'!W17</f>
        <v>0</v>
      </c>
      <c r="X19" s="63">
        <f>100/'2008 Totals'!AH17*'2008 Totals'!X17</f>
        <v>0</v>
      </c>
      <c r="Y19" s="63">
        <f>100/'2008 Totals'!AH17*'2008 Totals'!Y17</f>
        <v>0</v>
      </c>
      <c r="Z19" s="63">
        <f>100/'2008 Totals'!AH17*'2008 Totals'!Z17</f>
        <v>0</v>
      </c>
      <c r="AA19" s="63">
        <f>100/'2008 Totals'!AH17*'2008 Totals'!AA17</f>
        <v>0</v>
      </c>
      <c r="AB19" s="63">
        <f>100/'2008 Totals'!AH17*'2008 Totals'!AB17</f>
        <v>0</v>
      </c>
      <c r="AC19" s="63">
        <f>100/'2008 Totals'!AH17*'2008 Totals'!AC17</f>
        <v>0</v>
      </c>
      <c r="AD19" s="63">
        <f>100/'2008 Totals'!AH17*'2008 Totals'!AD17</f>
        <v>0</v>
      </c>
      <c r="AE19" s="63">
        <f>100/'2008 Totals'!AH17*'2008 Totals'!AE17</f>
        <v>0</v>
      </c>
      <c r="AF19" s="63">
        <f>100/'2008 Totals'!AH17*'2008 Totals'!AF17</f>
        <v>0.5319148936170213</v>
      </c>
      <c r="AG19" s="63">
        <f>100/'2008 Totals'!AH17*'2008 Totals'!AG17</f>
        <v>0</v>
      </c>
      <c r="AH19" s="65">
        <f>100/'2008 Totals'!AH46*'2008 Totals'!AH17</f>
        <v>2.42439873621768</v>
      </c>
    </row>
    <row r="20" spans="2:34" ht="12.75">
      <c r="B20" s="45" t="s">
        <v>95</v>
      </c>
      <c r="C20" s="7">
        <v>2</v>
      </c>
      <c r="D20" s="7">
        <v>4</v>
      </c>
      <c r="E20" s="58" t="s">
        <v>75</v>
      </c>
      <c r="F20" s="63">
        <f>100/'2008 Totals'!AH18*'2008 Totals'!F18</f>
        <v>19.794344473007712</v>
      </c>
      <c r="G20" s="63">
        <f>100/'2008 Totals'!AH18*'2008 Totals'!G18</f>
        <v>0</v>
      </c>
      <c r="H20" s="63">
        <f>100/'2008 Totals'!AH18*'2008 Totals'!H18</f>
        <v>0</v>
      </c>
      <c r="I20" s="63">
        <f>100/'2008 Totals'!AH18*'2008 Totals'!I18</f>
        <v>0</v>
      </c>
      <c r="J20" s="63">
        <f>100/'2008 Totals'!AH18*'2008 Totals'!J18</f>
        <v>3.0848329048843186</v>
      </c>
      <c r="K20" s="63">
        <f>100/'2008 Totals'!AH18*'2008 Totals'!K18</f>
        <v>0</v>
      </c>
      <c r="L20" s="63">
        <f>100/'2008 Totals'!AH18*'2008 Totals'!L18</f>
        <v>0</v>
      </c>
      <c r="M20" s="63">
        <f>100/'2008 Totals'!AH18*'2008 Totals'!M18</f>
        <v>20.308483290488432</v>
      </c>
      <c r="N20" s="63">
        <f>100/'2008 Totals'!AH18*'2008 Totals'!N18</f>
        <v>50.89974293059126</v>
      </c>
      <c r="O20" s="63">
        <f>100/'2008 Totals'!AH18*'2008 Totals'!O18</f>
        <v>0</v>
      </c>
      <c r="P20" s="63">
        <f>100/'2008 Totals'!AH18*'2008 Totals'!P18</f>
        <v>0</v>
      </c>
      <c r="Q20" s="63">
        <f>100/'2008 Totals'!AH18*'2008 Totals'!Q18</f>
        <v>0.2570694087403599</v>
      </c>
      <c r="R20" s="63">
        <f>100/'2008 Totals'!AH18*'2008 Totals'!R18</f>
        <v>5.141388174807197</v>
      </c>
      <c r="S20" s="63">
        <f>100/'2008 Totals'!AH18*'2008 Totals'!S18</f>
        <v>0</v>
      </c>
      <c r="T20" s="63">
        <f>100/'2008 Totals'!AH18*'2008 Totals'!T18</f>
        <v>0</v>
      </c>
      <c r="U20" s="63">
        <f>100/'2008 Totals'!AH18*'2008 Totals'!U18</f>
        <v>0</v>
      </c>
      <c r="V20" s="63">
        <f>100/'2008 Totals'!AH18*'2008 Totals'!V18</f>
        <v>0</v>
      </c>
      <c r="W20" s="63">
        <f>100/'2008 Totals'!AH18*'2008 Totals'!W18</f>
        <v>0.2570694087403599</v>
      </c>
      <c r="X20" s="63">
        <f>100/'2008 Totals'!AH18*'2008 Totals'!X18</f>
        <v>0</v>
      </c>
      <c r="Y20" s="63">
        <f>100/'2008 Totals'!AH18*'2008 Totals'!Y18</f>
        <v>0</v>
      </c>
      <c r="Z20" s="63">
        <f>100/'2008 Totals'!AH18*'2008 Totals'!Z18</f>
        <v>0</v>
      </c>
      <c r="AA20" s="63">
        <f>100/'2008 Totals'!AH18*'2008 Totals'!AA18</f>
        <v>0</v>
      </c>
      <c r="AB20" s="63">
        <f>100/'2008 Totals'!AH18*'2008 Totals'!AB18</f>
        <v>0</v>
      </c>
      <c r="AC20" s="63">
        <f>100/'2008 Totals'!AH18*'2008 Totals'!AC18</f>
        <v>0</v>
      </c>
      <c r="AD20" s="63">
        <f>100/'2008 Totals'!AH18*'2008 Totals'!AD18</f>
        <v>0</v>
      </c>
      <c r="AE20" s="63">
        <f>100/'2008 Totals'!AH18*'2008 Totals'!AE18</f>
        <v>0</v>
      </c>
      <c r="AF20" s="63">
        <f>100/'2008 Totals'!AH18*'2008 Totals'!AF18</f>
        <v>0</v>
      </c>
      <c r="AG20" s="63">
        <f>100/'2008 Totals'!AH18*'2008 Totals'!AG18</f>
        <v>0.2570694087403599</v>
      </c>
      <c r="AH20" s="65">
        <f>100/'2008 Totals'!AH46*'2008 Totals'!AH18</f>
        <v>2.5082210329486103</v>
      </c>
    </row>
    <row r="21" spans="2:34" ht="12.75">
      <c r="B21" s="45" t="s">
        <v>95</v>
      </c>
      <c r="C21" s="7">
        <v>2</v>
      </c>
      <c r="D21" s="7">
        <v>4</v>
      </c>
      <c r="E21" s="58" t="s">
        <v>76</v>
      </c>
      <c r="F21" s="63">
        <f>100/'2008 Totals'!AH19*'2008 Totals'!F19</f>
        <v>21.610169491525422</v>
      </c>
      <c r="G21" s="63">
        <f>100/'2008 Totals'!AH19*'2008 Totals'!G19</f>
        <v>0</v>
      </c>
      <c r="H21" s="63">
        <f>100/'2008 Totals'!AH19*'2008 Totals'!H19</f>
        <v>0</v>
      </c>
      <c r="I21" s="63">
        <f>100/'2008 Totals'!AH19*'2008 Totals'!I19</f>
        <v>0.211864406779661</v>
      </c>
      <c r="J21" s="63">
        <f>100/'2008 Totals'!AH19*'2008 Totals'!J19</f>
        <v>3.389830508474576</v>
      </c>
      <c r="K21" s="63">
        <f>100/'2008 Totals'!AH19*'2008 Totals'!K19</f>
        <v>0</v>
      </c>
      <c r="L21" s="63">
        <f>100/'2008 Totals'!AH19*'2008 Totals'!L19</f>
        <v>0</v>
      </c>
      <c r="M21" s="63">
        <f>100/'2008 Totals'!AH19*'2008 Totals'!M19</f>
        <v>20.550847457627118</v>
      </c>
      <c r="N21" s="63">
        <f>100/'2008 Totals'!AH19*'2008 Totals'!N19</f>
        <v>48.516949152542374</v>
      </c>
      <c r="O21" s="63">
        <f>100/'2008 Totals'!AH19*'2008 Totals'!O19</f>
        <v>0.211864406779661</v>
      </c>
      <c r="P21" s="63">
        <f>100/'2008 Totals'!AH19*'2008 Totals'!P19</f>
        <v>0.211864406779661</v>
      </c>
      <c r="Q21" s="63">
        <f>100/'2008 Totals'!AH19*'2008 Totals'!Q19</f>
        <v>0.211864406779661</v>
      </c>
      <c r="R21" s="63">
        <f>100/'2008 Totals'!AH19*'2008 Totals'!R19</f>
        <v>3.601694915254237</v>
      </c>
      <c r="S21" s="63">
        <f>100/'2008 Totals'!AH19*'2008 Totals'!S19</f>
        <v>0</v>
      </c>
      <c r="T21" s="63">
        <f>100/'2008 Totals'!AH19*'2008 Totals'!T19</f>
        <v>0</v>
      </c>
      <c r="U21" s="63">
        <f>100/'2008 Totals'!AH19*'2008 Totals'!U19</f>
        <v>0.211864406779661</v>
      </c>
      <c r="V21" s="63">
        <f>100/'2008 Totals'!AH19*'2008 Totals'!V19</f>
        <v>0.211864406779661</v>
      </c>
      <c r="W21" s="63">
        <f>100/'2008 Totals'!AH19*'2008 Totals'!W19</f>
        <v>0.211864406779661</v>
      </c>
      <c r="X21" s="63">
        <f>100/'2008 Totals'!AH19*'2008 Totals'!X19</f>
        <v>0</v>
      </c>
      <c r="Y21" s="63">
        <f>100/'2008 Totals'!AH19*'2008 Totals'!Y19</f>
        <v>0</v>
      </c>
      <c r="Z21" s="63">
        <f>100/'2008 Totals'!AH19*'2008 Totals'!Z19</f>
        <v>0</v>
      </c>
      <c r="AA21" s="63">
        <f>100/'2008 Totals'!AH19*'2008 Totals'!AA19</f>
        <v>0</v>
      </c>
      <c r="AB21" s="63">
        <f>100/'2008 Totals'!AH19*'2008 Totals'!AB19</f>
        <v>0</v>
      </c>
      <c r="AC21" s="63">
        <f>100/'2008 Totals'!AH19*'2008 Totals'!AC19</f>
        <v>0</v>
      </c>
      <c r="AD21" s="63">
        <f>100/'2008 Totals'!AH19*'2008 Totals'!AD19</f>
        <v>0</v>
      </c>
      <c r="AE21" s="63">
        <f>100/'2008 Totals'!AH19*'2008 Totals'!AE19</f>
        <v>0</v>
      </c>
      <c r="AF21" s="63">
        <f>100/'2008 Totals'!AH19*'2008 Totals'!AF19</f>
        <v>0.423728813559322</v>
      </c>
      <c r="AG21" s="63">
        <f>100/'2008 Totals'!AH19*'2008 Totals'!AG19</f>
        <v>0.423728813559322</v>
      </c>
      <c r="AH21" s="65">
        <f>100/'2008 Totals'!AH46*'2008 Totals'!AH19</f>
        <v>3.0433941582307047</v>
      </c>
    </row>
    <row r="22" spans="2:34" ht="12.75">
      <c r="B22" s="45" t="s">
        <v>96</v>
      </c>
      <c r="C22" s="7">
        <v>2</v>
      </c>
      <c r="D22" s="7">
        <v>5</v>
      </c>
      <c r="E22" s="58" t="s">
        <v>75</v>
      </c>
      <c r="F22" s="63">
        <f>100/'2008 Totals'!AH20*'2008 Totals'!F20</f>
        <v>12.820512820512821</v>
      </c>
      <c r="G22" s="63">
        <f>100/'2008 Totals'!AH20*'2008 Totals'!G20</f>
        <v>0</v>
      </c>
      <c r="H22" s="63">
        <f>100/'2008 Totals'!AH20*'2008 Totals'!H20</f>
        <v>0</v>
      </c>
      <c r="I22" s="63">
        <f>100/'2008 Totals'!AH20*'2008 Totals'!I20</f>
        <v>0</v>
      </c>
      <c r="J22" s="63">
        <f>100/'2008 Totals'!AH20*'2008 Totals'!J20</f>
        <v>3.418803418803419</v>
      </c>
      <c r="K22" s="63">
        <f>100/'2008 Totals'!AH20*'2008 Totals'!K20</f>
        <v>0</v>
      </c>
      <c r="L22" s="63">
        <f>100/'2008 Totals'!AH20*'2008 Totals'!L20</f>
        <v>0</v>
      </c>
      <c r="M22" s="63">
        <f>100/'2008 Totals'!AH20*'2008 Totals'!M20</f>
        <v>26.210826210826212</v>
      </c>
      <c r="N22" s="63">
        <f>100/'2008 Totals'!AH20*'2008 Totals'!N20</f>
        <v>51.851851851851855</v>
      </c>
      <c r="O22" s="63">
        <f>100/'2008 Totals'!AH20*'2008 Totals'!O20</f>
        <v>0</v>
      </c>
      <c r="P22" s="63">
        <f>100/'2008 Totals'!AH20*'2008 Totals'!P20</f>
        <v>0</v>
      </c>
      <c r="Q22" s="63">
        <f>100/'2008 Totals'!AH20*'2008 Totals'!Q20</f>
        <v>0</v>
      </c>
      <c r="R22" s="63">
        <f>100/'2008 Totals'!AH20*'2008 Totals'!R20</f>
        <v>4.843304843304844</v>
      </c>
      <c r="S22" s="63">
        <f>100/'2008 Totals'!AH20*'2008 Totals'!S20</f>
        <v>0</v>
      </c>
      <c r="T22" s="63">
        <f>100/'2008 Totals'!AH20*'2008 Totals'!T20</f>
        <v>0</v>
      </c>
      <c r="U22" s="63">
        <f>100/'2008 Totals'!AH20*'2008 Totals'!U20</f>
        <v>0</v>
      </c>
      <c r="V22" s="63">
        <f>100/'2008 Totals'!AH20*'2008 Totals'!V20</f>
        <v>0</v>
      </c>
      <c r="W22" s="63">
        <f>100/'2008 Totals'!AH20*'2008 Totals'!W20</f>
        <v>0</v>
      </c>
      <c r="X22" s="63">
        <f>100/'2008 Totals'!AH20*'2008 Totals'!X20</f>
        <v>0</v>
      </c>
      <c r="Y22" s="63">
        <f>100/'2008 Totals'!AH20*'2008 Totals'!Y20</f>
        <v>0</v>
      </c>
      <c r="Z22" s="63">
        <f>100/'2008 Totals'!AH20*'2008 Totals'!Z20</f>
        <v>0</v>
      </c>
      <c r="AA22" s="63">
        <f>100/'2008 Totals'!AH20*'2008 Totals'!AA20</f>
        <v>0</v>
      </c>
      <c r="AB22" s="63">
        <f>100/'2008 Totals'!AH20*'2008 Totals'!AB20</f>
        <v>0</v>
      </c>
      <c r="AC22" s="63">
        <f>100/'2008 Totals'!AH20*'2008 Totals'!AC20</f>
        <v>0</v>
      </c>
      <c r="AD22" s="63">
        <f>100/'2008 Totals'!AH20*'2008 Totals'!AD20</f>
        <v>0</v>
      </c>
      <c r="AE22" s="63">
        <f>100/'2008 Totals'!AH20*'2008 Totals'!AE20</f>
        <v>0.2849002849002849</v>
      </c>
      <c r="AF22" s="63">
        <f>100/'2008 Totals'!AH20*'2008 Totals'!AF20</f>
        <v>0</v>
      </c>
      <c r="AG22" s="63">
        <f>100/'2008 Totals'!AH20*'2008 Totals'!AG20</f>
        <v>0.5698005698005698</v>
      </c>
      <c r="AH22" s="65">
        <f>100/'2008 Totals'!AH46*'2008 Totals'!AH20</f>
        <v>2.2632020117351215</v>
      </c>
    </row>
    <row r="23" spans="2:34" ht="12.75">
      <c r="B23" s="45" t="s">
        <v>96</v>
      </c>
      <c r="C23" s="7">
        <v>2</v>
      </c>
      <c r="D23" s="7">
        <v>5</v>
      </c>
      <c r="E23" s="58" t="s">
        <v>76</v>
      </c>
      <c r="F23" s="63">
        <f>100/'2008 Totals'!AH21*'2008 Totals'!F21</f>
        <v>13.065326633165828</v>
      </c>
      <c r="G23" s="63">
        <f>100/'2008 Totals'!AH21*'2008 Totals'!G21</f>
        <v>0.25125628140703515</v>
      </c>
      <c r="H23" s="63">
        <f>100/'2008 Totals'!AH21*'2008 Totals'!H21</f>
        <v>0</v>
      </c>
      <c r="I23" s="63">
        <f>100/'2008 Totals'!AH21*'2008 Totals'!I21</f>
        <v>0</v>
      </c>
      <c r="J23" s="63">
        <f>100/'2008 Totals'!AH21*'2008 Totals'!J21</f>
        <v>2.2613065326633164</v>
      </c>
      <c r="K23" s="63">
        <f>100/'2008 Totals'!AH21*'2008 Totals'!K21</f>
        <v>0.25125628140703515</v>
      </c>
      <c r="L23" s="63">
        <f>100/'2008 Totals'!AH21*'2008 Totals'!L21</f>
        <v>0.5025125628140703</v>
      </c>
      <c r="M23" s="63">
        <f>100/'2008 Totals'!AH21*'2008 Totals'!M21</f>
        <v>29.396984924623112</v>
      </c>
      <c r="N23" s="63">
        <f>100/'2008 Totals'!AH21*'2008 Totals'!N21</f>
        <v>51.507537688442206</v>
      </c>
      <c r="O23" s="63">
        <f>100/'2008 Totals'!AH21*'2008 Totals'!O21</f>
        <v>0</v>
      </c>
      <c r="P23" s="63">
        <f>100/'2008 Totals'!AH21*'2008 Totals'!P21</f>
        <v>0</v>
      </c>
      <c r="Q23" s="63">
        <f>100/'2008 Totals'!AH21*'2008 Totals'!Q21</f>
        <v>0</v>
      </c>
      <c r="R23" s="63">
        <f>100/'2008 Totals'!AH21*'2008 Totals'!R21</f>
        <v>2.5125628140703515</v>
      </c>
      <c r="S23" s="63">
        <f>100/'2008 Totals'!AH21*'2008 Totals'!S21</f>
        <v>0</v>
      </c>
      <c r="T23" s="63">
        <f>100/'2008 Totals'!AH21*'2008 Totals'!T21</f>
        <v>0</v>
      </c>
      <c r="U23" s="63">
        <f>100/'2008 Totals'!AH21*'2008 Totals'!U21</f>
        <v>0</v>
      </c>
      <c r="V23" s="63">
        <f>100/'2008 Totals'!AH21*'2008 Totals'!V21</f>
        <v>0</v>
      </c>
      <c r="W23" s="63">
        <f>100/'2008 Totals'!AH21*'2008 Totals'!W21</f>
        <v>0</v>
      </c>
      <c r="X23" s="63">
        <f>100/'2008 Totals'!AH21*'2008 Totals'!X21</f>
        <v>0</v>
      </c>
      <c r="Y23" s="63">
        <f>100/'2008 Totals'!AH21*'2008 Totals'!Y21</f>
        <v>0</v>
      </c>
      <c r="Z23" s="63">
        <f>100/'2008 Totals'!AH21*'2008 Totals'!Z21</f>
        <v>0</v>
      </c>
      <c r="AA23" s="63">
        <f>100/'2008 Totals'!AH21*'2008 Totals'!AA21</f>
        <v>0</v>
      </c>
      <c r="AB23" s="63">
        <f>100/'2008 Totals'!AH21*'2008 Totals'!AB21</f>
        <v>0</v>
      </c>
      <c r="AC23" s="63">
        <f>100/'2008 Totals'!AH21*'2008 Totals'!AC21</f>
        <v>0</v>
      </c>
      <c r="AD23" s="63">
        <f>100/'2008 Totals'!AH21*'2008 Totals'!AD21</f>
        <v>0</v>
      </c>
      <c r="AE23" s="63">
        <f>100/'2008 Totals'!AH21*'2008 Totals'!AE21</f>
        <v>0</v>
      </c>
      <c r="AF23" s="63">
        <f>100/'2008 Totals'!AH21*'2008 Totals'!AF21</f>
        <v>0</v>
      </c>
      <c r="AG23" s="63">
        <f>100/'2008 Totals'!AH21*'2008 Totals'!AG21</f>
        <v>0.25125628140703515</v>
      </c>
      <c r="AH23" s="65">
        <f>100/'2008 Totals'!AH46*'2008 Totals'!AH21</f>
        <v>2.5662518537623313</v>
      </c>
    </row>
    <row r="24" spans="2:34" ht="12.75">
      <c r="B24" s="45" t="s">
        <v>96</v>
      </c>
      <c r="C24" s="7">
        <v>2</v>
      </c>
      <c r="D24" s="7">
        <v>5</v>
      </c>
      <c r="E24" s="58" t="s">
        <v>92</v>
      </c>
      <c r="F24" s="63">
        <f>100/'2008 Totals'!AH22*'2008 Totals'!F22</f>
        <v>12.405063291139241</v>
      </c>
      <c r="G24" s="63">
        <f>100/'2008 Totals'!AH22*'2008 Totals'!G22</f>
        <v>0</v>
      </c>
      <c r="H24" s="63">
        <f>100/'2008 Totals'!AH22*'2008 Totals'!H22</f>
        <v>0.759493670886076</v>
      </c>
      <c r="I24" s="63">
        <f>100/'2008 Totals'!AH22*'2008 Totals'!I22</f>
        <v>0.25316455696202533</v>
      </c>
      <c r="J24" s="63">
        <f>100/'2008 Totals'!AH22*'2008 Totals'!J22</f>
        <v>2.0253164556962027</v>
      </c>
      <c r="K24" s="63">
        <f>100/'2008 Totals'!AH22*'2008 Totals'!K22</f>
        <v>0.25316455696202533</v>
      </c>
      <c r="L24" s="63">
        <f>100/'2008 Totals'!AH22*'2008 Totals'!L22</f>
        <v>0.25316455696202533</v>
      </c>
      <c r="M24" s="63">
        <f>100/'2008 Totals'!AH22*'2008 Totals'!M22</f>
        <v>24.810126582278482</v>
      </c>
      <c r="N24" s="63">
        <f>100/'2008 Totals'!AH22*'2008 Totals'!N22</f>
        <v>52.65822784810127</v>
      </c>
      <c r="O24" s="63">
        <f>100/'2008 Totals'!AH22*'2008 Totals'!O22</f>
        <v>0</v>
      </c>
      <c r="P24" s="63">
        <f>100/'2008 Totals'!AH22*'2008 Totals'!P22</f>
        <v>0</v>
      </c>
      <c r="Q24" s="63">
        <f>100/'2008 Totals'!AH22*'2008 Totals'!Q22</f>
        <v>0.25316455696202533</v>
      </c>
      <c r="R24" s="63">
        <f>100/'2008 Totals'!AH22*'2008 Totals'!R22</f>
        <v>5.3164556962025316</v>
      </c>
      <c r="S24" s="63">
        <f>100/'2008 Totals'!AH22*'2008 Totals'!S22</f>
        <v>0</v>
      </c>
      <c r="T24" s="63">
        <f>100/'2008 Totals'!AH22*'2008 Totals'!T22</f>
        <v>0</v>
      </c>
      <c r="U24" s="63">
        <f>100/'2008 Totals'!AH22*'2008 Totals'!U22</f>
        <v>0</v>
      </c>
      <c r="V24" s="63">
        <f>100/'2008 Totals'!AH22*'2008 Totals'!V22</f>
        <v>0</v>
      </c>
      <c r="W24" s="63">
        <f>100/'2008 Totals'!AH22*'2008 Totals'!W22</f>
        <v>0</v>
      </c>
      <c r="X24" s="63">
        <f>100/'2008 Totals'!AH22*'2008 Totals'!X22</f>
        <v>0</v>
      </c>
      <c r="Y24" s="63">
        <f>100/'2008 Totals'!AH22*'2008 Totals'!Y22</f>
        <v>0</v>
      </c>
      <c r="Z24" s="63">
        <f>100/'2008 Totals'!AH22*'2008 Totals'!Z22</f>
        <v>0</v>
      </c>
      <c r="AA24" s="63">
        <f>100/'2008 Totals'!AH22*'2008 Totals'!AA22</f>
        <v>0</v>
      </c>
      <c r="AB24" s="63">
        <f>100/'2008 Totals'!AH22*'2008 Totals'!AB22</f>
        <v>0</v>
      </c>
      <c r="AC24" s="63">
        <f>100/'2008 Totals'!AH22*'2008 Totals'!AC22</f>
        <v>0</v>
      </c>
      <c r="AD24" s="63">
        <f>100/'2008 Totals'!AH22*'2008 Totals'!AD22</f>
        <v>0</v>
      </c>
      <c r="AE24" s="63">
        <f>100/'2008 Totals'!AH22*'2008 Totals'!AE22</f>
        <v>0</v>
      </c>
      <c r="AF24" s="63">
        <f>100/'2008 Totals'!AH22*'2008 Totals'!AF22</f>
        <v>0</v>
      </c>
      <c r="AG24" s="63">
        <f>100/'2008 Totals'!AH22*'2008 Totals'!AG22</f>
        <v>1.0126582278481013</v>
      </c>
      <c r="AH24" s="65">
        <f>100/'2008 Totals'!AH46*'2008 Totals'!AH22</f>
        <v>2.5469082468244246</v>
      </c>
    </row>
    <row r="25" spans="2:34" ht="12.75">
      <c r="B25" s="45" t="s">
        <v>97</v>
      </c>
      <c r="C25" s="7">
        <v>3</v>
      </c>
      <c r="D25" s="7">
        <v>1</v>
      </c>
      <c r="E25" s="58" t="s">
        <v>75</v>
      </c>
      <c r="F25" s="63">
        <f>100/'2008 Totals'!AH23*'2008 Totals'!F23</f>
        <v>19.130434782608695</v>
      </c>
      <c r="G25" s="63">
        <f>100/'2008 Totals'!AH23*'2008 Totals'!G23</f>
        <v>0</v>
      </c>
      <c r="H25" s="63">
        <f>100/'2008 Totals'!AH23*'2008 Totals'!H23</f>
        <v>0.2898550724637681</v>
      </c>
      <c r="I25" s="63">
        <f>100/'2008 Totals'!AH23*'2008 Totals'!I23</f>
        <v>0.2898550724637681</v>
      </c>
      <c r="J25" s="63">
        <f>100/'2008 Totals'!AH23*'2008 Totals'!J23</f>
        <v>3.768115942028986</v>
      </c>
      <c r="K25" s="63">
        <f>100/'2008 Totals'!AH23*'2008 Totals'!K23</f>
        <v>0</v>
      </c>
      <c r="L25" s="63">
        <f>100/'2008 Totals'!AH23*'2008 Totals'!L23</f>
        <v>0</v>
      </c>
      <c r="M25" s="63">
        <f>100/'2008 Totals'!AH23*'2008 Totals'!M23</f>
        <v>17.681159420289855</v>
      </c>
      <c r="N25" s="63">
        <f>100/'2008 Totals'!AH23*'2008 Totals'!N23</f>
        <v>49.56521739130435</v>
      </c>
      <c r="O25" s="63">
        <f>100/'2008 Totals'!AH23*'2008 Totals'!O23</f>
        <v>0.2898550724637681</v>
      </c>
      <c r="P25" s="63">
        <f>100/'2008 Totals'!AH23*'2008 Totals'!P23</f>
        <v>0</v>
      </c>
      <c r="Q25" s="63">
        <f>100/'2008 Totals'!AH23*'2008 Totals'!Q23</f>
        <v>0</v>
      </c>
      <c r="R25" s="63">
        <f>100/'2008 Totals'!AH23*'2008 Totals'!R23</f>
        <v>8.985507246376812</v>
      </c>
      <c r="S25" s="63">
        <f>100/'2008 Totals'!AH23*'2008 Totals'!S23</f>
        <v>0</v>
      </c>
      <c r="T25" s="63">
        <f>100/'2008 Totals'!AH23*'2008 Totals'!T23</f>
        <v>0</v>
      </c>
      <c r="U25" s="63">
        <f>100/'2008 Totals'!AH23*'2008 Totals'!U23</f>
        <v>0</v>
      </c>
      <c r="V25" s="63">
        <f>100/'2008 Totals'!AH23*'2008 Totals'!V23</f>
        <v>0</v>
      </c>
      <c r="W25" s="63">
        <f>100/'2008 Totals'!AH23*'2008 Totals'!W23</f>
        <v>0</v>
      </c>
      <c r="X25" s="63">
        <f>100/'2008 Totals'!AH23*'2008 Totals'!X23</f>
        <v>0</v>
      </c>
      <c r="Y25" s="63">
        <f>100/'2008 Totals'!AH23*'2008 Totals'!Y23</f>
        <v>0</v>
      </c>
      <c r="Z25" s="63">
        <f>100/'2008 Totals'!AH23*'2008 Totals'!Z23</f>
        <v>0</v>
      </c>
      <c r="AA25" s="63">
        <f>100/'2008 Totals'!AH23*'2008 Totals'!AA23</f>
        <v>0</v>
      </c>
      <c r="AB25" s="63">
        <f>100/'2008 Totals'!AH23*'2008 Totals'!AB23</f>
        <v>0</v>
      </c>
      <c r="AC25" s="63">
        <f>100/'2008 Totals'!AH23*'2008 Totals'!AC23</f>
        <v>0</v>
      </c>
      <c r="AD25" s="63">
        <f>100/'2008 Totals'!AH23*'2008 Totals'!AD23</f>
        <v>0</v>
      </c>
      <c r="AE25" s="63">
        <f>100/'2008 Totals'!AH23*'2008 Totals'!AE23</f>
        <v>0</v>
      </c>
      <c r="AF25" s="63">
        <f>100/'2008 Totals'!AH23*'2008 Totals'!AF23</f>
        <v>0</v>
      </c>
      <c r="AG25" s="63">
        <f>100/'2008 Totals'!AH23*'2008 Totals'!AG23</f>
        <v>0</v>
      </c>
      <c r="AH25" s="65">
        <f>100/'2008 Totals'!AH46*'2008 Totals'!AH23</f>
        <v>2.2245147978593076</v>
      </c>
    </row>
    <row r="26" spans="2:34" ht="12.75">
      <c r="B26" s="45" t="s">
        <v>97</v>
      </c>
      <c r="C26" s="7">
        <v>3</v>
      </c>
      <c r="D26" s="7">
        <v>1</v>
      </c>
      <c r="E26" s="58" t="s">
        <v>76</v>
      </c>
      <c r="F26" s="63">
        <f>100/'2008 Totals'!AH24*'2008 Totals'!F24</f>
        <v>21.123595505617978</v>
      </c>
      <c r="G26" s="63">
        <f>100/'2008 Totals'!AH24*'2008 Totals'!G24</f>
        <v>0</v>
      </c>
      <c r="H26" s="63">
        <f>100/'2008 Totals'!AH24*'2008 Totals'!H24</f>
        <v>0</v>
      </c>
      <c r="I26" s="63">
        <f>100/'2008 Totals'!AH24*'2008 Totals'!I24</f>
        <v>0.2247191011235955</v>
      </c>
      <c r="J26" s="63">
        <f>100/'2008 Totals'!AH24*'2008 Totals'!J24</f>
        <v>1.797752808988764</v>
      </c>
      <c r="K26" s="63">
        <f>100/'2008 Totals'!AH24*'2008 Totals'!K24</f>
        <v>0.2247191011235955</v>
      </c>
      <c r="L26" s="63">
        <f>100/'2008 Totals'!AH24*'2008 Totals'!L24</f>
        <v>0</v>
      </c>
      <c r="M26" s="63">
        <f>100/'2008 Totals'!AH24*'2008 Totals'!M24</f>
        <v>14.382022471910112</v>
      </c>
      <c r="N26" s="63">
        <f>100/'2008 Totals'!AH24*'2008 Totals'!N24</f>
        <v>53.70786516853932</v>
      </c>
      <c r="O26" s="63">
        <f>100/'2008 Totals'!AH24*'2008 Totals'!O24</f>
        <v>0</v>
      </c>
      <c r="P26" s="63">
        <f>100/'2008 Totals'!AH24*'2008 Totals'!P24</f>
        <v>0.2247191011235955</v>
      </c>
      <c r="Q26" s="63">
        <f>100/'2008 Totals'!AH24*'2008 Totals'!Q24</f>
        <v>0.449438202247191</v>
      </c>
      <c r="R26" s="63">
        <f>100/'2008 Totals'!AH24*'2008 Totals'!R24</f>
        <v>6.966292134831461</v>
      </c>
      <c r="S26" s="63">
        <f>100/'2008 Totals'!AH24*'2008 Totals'!S24</f>
        <v>0</v>
      </c>
      <c r="T26" s="63">
        <f>100/'2008 Totals'!AH24*'2008 Totals'!T24</f>
        <v>0</v>
      </c>
      <c r="U26" s="63">
        <f>100/'2008 Totals'!AH24*'2008 Totals'!U24</f>
        <v>0.2247191011235955</v>
      </c>
      <c r="V26" s="63">
        <f>100/'2008 Totals'!AH24*'2008 Totals'!V24</f>
        <v>0</v>
      </c>
      <c r="W26" s="63">
        <f>100/'2008 Totals'!AH24*'2008 Totals'!W24</f>
        <v>0</v>
      </c>
      <c r="X26" s="63">
        <f>100/'2008 Totals'!AH24*'2008 Totals'!X24</f>
        <v>0</v>
      </c>
      <c r="Y26" s="63">
        <f>100/'2008 Totals'!AH24*'2008 Totals'!Y24</f>
        <v>0</v>
      </c>
      <c r="Z26" s="63">
        <f>100/'2008 Totals'!AH24*'2008 Totals'!Z24</f>
        <v>0.2247191011235955</v>
      </c>
      <c r="AA26" s="63">
        <f>100/'2008 Totals'!AH24*'2008 Totals'!AA24</f>
        <v>0</v>
      </c>
      <c r="AB26" s="63">
        <f>100/'2008 Totals'!AH24*'2008 Totals'!AB24</f>
        <v>0</v>
      </c>
      <c r="AC26" s="63">
        <f>100/'2008 Totals'!AH24*'2008 Totals'!AC24</f>
        <v>0</v>
      </c>
      <c r="AD26" s="63">
        <f>100/'2008 Totals'!AH24*'2008 Totals'!AD24</f>
        <v>0</v>
      </c>
      <c r="AE26" s="63">
        <f>100/'2008 Totals'!AH24*'2008 Totals'!AE24</f>
        <v>0</v>
      </c>
      <c r="AF26" s="63">
        <f>100/'2008 Totals'!AH24*'2008 Totals'!AF24</f>
        <v>0</v>
      </c>
      <c r="AG26" s="63">
        <f>100/'2008 Totals'!AH24*'2008 Totals'!AG24</f>
        <v>0.449438202247191</v>
      </c>
      <c r="AH26" s="65">
        <f>100/'2008 Totals'!AH46*'2008 Totals'!AH24</f>
        <v>2.8693016957895416</v>
      </c>
    </row>
    <row r="27" spans="2:34" ht="12.75">
      <c r="B27" s="45" t="s">
        <v>98</v>
      </c>
      <c r="C27" s="7">
        <v>3</v>
      </c>
      <c r="D27" s="7">
        <v>2</v>
      </c>
      <c r="E27" s="58" t="s">
        <v>75</v>
      </c>
      <c r="F27" s="63">
        <f>100/'2008 Totals'!AH25*'2008 Totals'!F25</f>
        <v>16.569767441860467</v>
      </c>
      <c r="G27" s="63">
        <f>100/'2008 Totals'!AH25*'2008 Totals'!G25</f>
        <v>0</v>
      </c>
      <c r="H27" s="63">
        <f>100/'2008 Totals'!AH25*'2008 Totals'!H25</f>
        <v>0</v>
      </c>
      <c r="I27" s="63">
        <f>100/'2008 Totals'!AH25*'2008 Totals'!I25</f>
        <v>0</v>
      </c>
      <c r="J27" s="63">
        <f>100/'2008 Totals'!AH25*'2008 Totals'!J25</f>
        <v>2.906976744186047</v>
      </c>
      <c r="K27" s="63">
        <f>100/'2008 Totals'!AH25*'2008 Totals'!K25</f>
        <v>0</v>
      </c>
      <c r="L27" s="63">
        <f>100/'2008 Totals'!AH25*'2008 Totals'!L25</f>
        <v>0</v>
      </c>
      <c r="M27" s="63">
        <f>100/'2008 Totals'!AH25*'2008 Totals'!M25</f>
        <v>19.767441860465116</v>
      </c>
      <c r="N27" s="63">
        <f>100/'2008 Totals'!AH25*'2008 Totals'!N25</f>
        <v>53.77906976744186</v>
      </c>
      <c r="O27" s="63">
        <f>100/'2008 Totals'!AH25*'2008 Totals'!O25</f>
        <v>0.29069767441860467</v>
      </c>
      <c r="P27" s="63">
        <f>100/'2008 Totals'!AH25*'2008 Totals'!P25</f>
        <v>0.5813953488372093</v>
      </c>
      <c r="Q27" s="63">
        <f>100/'2008 Totals'!AH25*'2008 Totals'!Q25</f>
        <v>0</v>
      </c>
      <c r="R27" s="63">
        <f>100/'2008 Totals'!AH25*'2008 Totals'!R25</f>
        <v>3.1976744186046515</v>
      </c>
      <c r="S27" s="63">
        <f>100/'2008 Totals'!AH25*'2008 Totals'!S25</f>
        <v>0</v>
      </c>
      <c r="T27" s="63">
        <f>100/'2008 Totals'!AH25*'2008 Totals'!T25</f>
        <v>0</v>
      </c>
      <c r="U27" s="63">
        <f>100/'2008 Totals'!AH25*'2008 Totals'!U25</f>
        <v>0.872093023255814</v>
      </c>
      <c r="V27" s="63">
        <f>100/'2008 Totals'!AH25*'2008 Totals'!V25</f>
        <v>0.29069767441860467</v>
      </c>
      <c r="W27" s="63">
        <f>100/'2008 Totals'!AH25*'2008 Totals'!W25</f>
        <v>0.872093023255814</v>
      </c>
      <c r="X27" s="63">
        <f>100/'2008 Totals'!AH25*'2008 Totals'!X25</f>
        <v>0</v>
      </c>
      <c r="Y27" s="63">
        <f>100/'2008 Totals'!AH25*'2008 Totals'!Y25</f>
        <v>0</v>
      </c>
      <c r="Z27" s="63">
        <f>100/'2008 Totals'!AH25*'2008 Totals'!Z25</f>
        <v>0</v>
      </c>
      <c r="AA27" s="63">
        <f>100/'2008 Totals'!AH25*'2008 Totals'!AA25</f>
        <v>0</v>
      </c>
      <c r="AB27" s="63">
        <f>100/'2008 Totals'!AH25*'2008 Totals'!AB25</f>
        <v>0</v>
      </c>
      <c r="AC27" s="63">
        <f>100/'2008 Totals'!AH25*'2008 Totals'!AC25</f>
        <v>0</v>
      </c>
      <c r="AD27" s="63">
        <f>100/'2008 Totals'!AH25*'2008 Totals'!AD25</f>
        <v>0</v>
      </c>
      <c r="AE27" s="63">
        <f>100/'2008 Totals'!AH25*'2008 Totals'!AE25</f>
        <v>0</v>
      </c>
      <c r="AF27" s="63">
        <f>100/'2008 Totals'!AH25*'2008 Totals'!AF25</f>
        <v>0</v>
      </c>
      <c r="AG27" s="63">
        <f>100/'2008 Totals'!AH25*'2008 Totals'!AG25</f>
        <v>0.872093023255814</v>
      </c>
      <c r="AH27" s="65">
        <f>100/'2008 Totals'!AH46*'2008 Totals'!AH25</f>
        <v>2.2180669288800052</v>
      </c>
    </row>
    <row r="28" spans="2:34" ht="12.75">
      <c r="B28" s="45" t="s">
        <v>98</v>
      </c>
      <c r="C28" s="7">
        <v>3</v>
      </c>
      <c r="D28" s="7">
        <v>2</v>
      </c>
      <c r="E28" s="58" t="s">
        <v>76</v>
      </c>
      <c r="F28" s="63">
        <f>100/'2008 Totals'!AH26*'2008 Totals'!F26</f>
        <v>14.734299516908212</v>
      </c>
      <c r="G28" s="63">
        <f>100/'2008 Totals'!AH26*'2008 Totals'!G26</f>
        <v>0</v>
      </c>
      <c r="H28" s="63">
        <f>100/'2008 Totals'!AH26*'2008 Totals'!H26</f>
        <v>0.24154589371980675</v>
      </c>
      <c r="I28" s="63">
        <f>100/'2008 Totals'!AH26*'2008 Totals'!I26</f>
        <v>0.24154589371980675</v>
      </c>
      <c r="J28" s="63">
        <f>100/'2008 Totals'!AH26*'2008 Totals'!J26</f>
        <v>3.864734299516908</v>
      </c>
      <c r="K28" s="63">
        <f>100/'2008 Totals'!AH26*'2008 Totals'!K26</f>
        <v>0</v>
      </c>
      <c r="L28" s="63">
        <f>100/'2008 Totals'!AH26*'2008 Totals'!L26</f>
        <v>0</v>
      </c>
      <c r="M28" s="63">
        <f>100/'2008 Totals'!AH26*'2008 Totals'!M26</f>
        <v>20.531400966183575</v>
      </c>
      <c r="N28" s="63">
        <f>100/'2008 Totals'!AH26*'2008 Totals'!N26</f>
        <v>52.65700483091787</v>
      </c>
      <c r="O28" s="63">
        <f>100/'2008 Totals'!AH26*'2008 Totals'!O26</f>
        <v>0</v>
      </c>
      <c r="P28" s="63">
        <f>100/'2008 Totals'!AH26*'2008 Totals'!P26</f>
        <v>0.24154589371980675</v>
      </c>
      <c r="Q28" s="63">
        <f>100/'2008 Totals'!AH26*'2008 Totals'!Q26</f>
        <v>0.4830917874396135</v>
      </c>
      <c r="R28" s="63">
        <f>100/'2008 Totals'!AH26*'2008 Totals'!R26</f>
        <v>6.038647342995169</v>
      </c>
      <c r="S28" s="63">
        <f>100/'2008 Totals'!AH26*'2008 Totals'!S26</f>
        <v>0</v>
      </c>
      <c r="T28" s="63">
        <f>100/'2008 Totals'!AH26*'2008 Totals'!T26</f>
        <v>0</v>
      </c>
      <c r="U28" s="63">
        <f>100/'2008 Totals'!AH26*'2008 Totals'!U26</f>
        <v>0</v>
      </c>
      <c r="V28" s="63">
        <f>100/'2008 Totals'!AH26*'2008 Totals'!V26</f>
        <v>0.24154589371980675</v>
      </c>
      <c r="W28" s="63">
        <f>100/'2008 Totals'!AH26*'2008 Totals'!W26</f>
        <v>0</v>
      </c>
      <c r="X28" s="63">
        <f>100/'2008 Totals'!AH26*'2008 Totals'!X26</f>
        <v>0</v>
      </c>
      <c r="Y28" s="63">
        <f>100/'2008 Totals'!AH26*'2008 Totals'!Y26</f>
        <v>0</v>
      </c>
      <c r="Z28" s="63">
        <f>100/'2008 Totals'!AH26*'2008 Totals'!Z26</f>
        <v>0</v>
      </c>
      <c r="AA28" s="63">
        <f>100/'2008 Totals'!AH26*'2008 Totals'!AA26</f>
        <v>0</v>
      </c>
      <c r="AB28" s="63">
        <f>100/'2008 Totals'!AH26*'2008 Totals'!AB26</f>
        <v>0</v>
      </c>
      <c r="AC28" s="63">
        <f>100/'2008 Totals'!AH26*'2008 Totals'!AC26</f>
        <v>0.24154589371980675</v>
      </c>
      <c r="AD28" s="63">
        <f>100/'2008 Totals'!AH26*'2008 Totals'!AD26</f>
        <v>0</v>
      </c>
      <c r="AE28" s="63">
        <f>100/'2008 Totals'!AH26*'2008 Totals'!AE26</f>
        <v>0</v>
      </c>
      <c r="AF28" s="63">
        <f>100/'2008 Totals'!AH26*'2008 Totals'!AF26</f>
        <v>0</v>
      </c>
      <c r="AG28" s="63">
        <f>100/'2008 Totals'!AH26*'2008 Totals'!AG26</f>
        <v>0.4830917874396135</v>
      </c>
      <c r="AH28" s="65">
        <f>100/'2008 Totals'!AH46*'2008 Totals'!AH26</f>
        <v>2.669417757431169</v>
      </c>
    </row>
    <row r="29" spans="2:34" ht="12.75">
      <c r="B29" s="45" t="s">
        <v>99</v>
      </c>
      <c r="C29" s="7">
        <v>3</v>
      </c>
      <c r="D29" s="7">
        <v>3</v>
      </c>
      <c r="E29" s="58" t="s">
        <v>75</v>
      </c>
      <c r="F29" s="63">
        <f>100/'2008 Totals'!AH27*'2008 Totals'!F27</f>
        <v>19.6969696969697</v>
      </c>
      <c r="G29" s="63">
        <f>100/'2008 Totals'!AH27*'2008 Totals'!G27</f>
        <v>0.25252525252525254</v>
      </c>
      <c r="H29" s="63">
        <f>100/'2008 Totals'!AH27*'2008 Totals'!H27</f>
        <v>0</v>
      </c>
      <c r="I29" s="63">
        <f>100/'2008 Totals'!AH27*'2008 Totals'!I27</f>
        <v>0.25252525252525254</v>
      </c>
      <c r="J29" s="63">
        <f>100/'2008 Totals'!AH27*'2008 Totals'!J27</f>
        <v>2.5252525252525255</v>
      </c>
      <c r="K29" s="63">
        <f>100/'2008 Totals'!AH27*'2008 Totals'!K27</f>
        <v>0</v>
      </c>
      <c r="L29" s="63">
        <f>100/'2008 Totals'!AH27*'2008 Totals'!L27</f>
        <v>0</v>
      </c>
      <c r="M29" s="63">
        <f>100/'2008 Totals'!AH27*'2008 Totals'!M27</f>
        <v>21.464646464646467</v>
      </c>
      <c r="N29" s="63">
        <f>100/'2008 Totals'!AH27*'2008 Totals'!N27</f>
        <v>48.484848484848484</v>
      </c>
      <c r="O29" s="63">
        <f>100/'2008 Totals'!AH27*'2008 Totals'!O27</f>
        <v>0</v>
      </c>
      <c r="P29" s="63">
        <f>100/'2008 Totals'!AH27*'2008 Totals'!P27</f>
        <v>0.25252525252525254</v>
      </c>
      <c r="Q29" s="63">
        <f>100/'2008 Totals'!AH27*'2008 Totals'!Q27</f>
        <v>0</v>
      </c>
      <c r="R29" s="63">
        <f>100/'2008 Totals'!AH27*'2008 Totals'!R27</f>
        <v>6.313131313131313</v>
      </c>
      <c r="S29" s="63">
        <f>100/'2008 Totals'!AH27*'2008 Totals'!S27</f>
        <v>0</v>
      </c>
      <c r="T29" s="63">
        <f>100/'2008 Totals'!AH27*'2008 Totals'!T27</f>
        <v>0</v>
      </c>
      <c r="U29" s="63">
        <f>100/'2008 Totals'!AH27*'2008 Totals'!U27</f>
        <v>0</v>
      </c>
      <c r="V29" s="63">
        <f>100/'2008 Totals'!AH27*'2008 Totals'!V27</f>
        <v>0.25252525252525254</v>
      </c>
      <c r="W29" s="63">
        <f>100/'2008 Totals'!AH27*'2008 Totals'!W27</f>
        <v>0</v>
      </c>
      <c r="X29" s="63">
        <f>100/'2008 Totals'!AH27*'2008 Totals'!X27</f>
        <v>0</v>
      </c>
      <c r="Y29" s="63">
        <f>100/'2008 Totals'!AH27*'2008 Totals'!Y27</f>
        <v>0</v>
      </c>
      <c r="Z29" s="63">
        <f>100/'2008 Totals'!AH27*'2008 Totals'!Z27</f>
        <v>0</v>
      </c>
      <c r="AA29" s="63">
        <f>100/'2008 Totals'!AH27*'2008 Totals'!AA27</f>
        <v>0</v>
      </c>
      <c r="AB29" s="63">
        <f>100/'2008 Totals'!AH27*'2008 Totals'!AB27</f>
        <v>0</v>
      </c>
      <c r="AC29" s="63">
        <f>100/'2008 Totals'!AH27*'2008 Totals'!AC27</f>
        <v>0</v>
      </c>
      <c r="AD29" s="63">
        <f>100/'2008 Totals'!AH27*'2008 Totals'!AD27</f>
        <v>0</v>
      </c>
      <c r="AE29" s="63">
        <f>100/'2008 Totals'!AH27*'2008 Totals'!AE27</f>
        <v>0.5050505050505051</v>
      </c>
      <c r="AF29" s="63">
        <f>100/'2008 Totals'!AH27*'2008 Totals'!AF27</f>
        <v>0</v>
      </c>
      <c r="AG29" s="63">
        <f>100/'2008 Totals'!AH27*'2008 Totals'!AG27</f>
        <v>0</v>
      </c>
      <c r="AH29" s="65">
        <f>100/'2008 Totals'!AH46*'2008 Totals'!AH27</f>
        <v>2.553356115803727</v>
      </c>
    </row>
    <row r="30" spans="2:34" ht="12.75">
      <c r="B30" s="45" t="s">
        <v>99</v>
      </c>
      <c r="C30" s="7">
        <v>3</v>
      </c>
      <c r="D30" s="7">
        <v>3</v>
      </c>
      <c r="E30" s="58" t="s">
        <v>76</v>
      </c>
      <c r="F30" s="63">
        <f>100/'2008 Totals'!AH28*'2008 Totals'!F28</f>
        <v>16.92307692307692</v>
      </c>
      <c r="G30" s="63">
        <f>100/'2008 Totals'!AH28*'2008 Totals'!G28</f>
        <v>0</v>
      </c>
      <c r="H30" s="63">
        <f>100/'2008 Totals'!AH28*'2008 Totals'!H28</f>
        <v>0</v>
      </c>
      <c r="I30" s="63">
        <f>100/'2008 Totals'!AH28*'2008 Totals'!I28</f>
        <v>0.5128205128205128</v>
      </c>
      <c r="J30" s="63">
        <f>100/'2008 Totals'!AH28*'2008 Totals'!J28</f>
        <v>3.846153846153846</v>
      </c>
      <c r="K30" s="63">
        <f>100/'2008 Totals'!AH28*'2008 Totals'!K28</f>
        <v>0.5128205128205128</v>
      </c>
      <c r="L30" s="63">
        <f>100/'2008 Totals'!AH28*'2008 Totals'!L28</f>
        <v>0</v>
      </c>
      <c r="M30" s="63">
        <f>100/'2008 Totals'!AH28*'2008 Totals'!M28</f>
        <v>27.179487179487175</v>
      </c>
      <c r="N30" s="63">
        <f>100/'2008 Totals'!AH28*'2008 Totals'!N28</f>
        <v>44.87179487179487</v>
      </c>
      <c r="O30" s="63">
        <f>100/'2008 Totals'!AH28*'2008 Totals'!O28</f>
        <v>0.7692307692307692</v>
      </c>
      <c r="P30" s="63">
        <f>100/'2008 Totals'!AH28*'2008 Totals'!P28</f>
        <v>0</v>
      </c>
      <c r="Q30" s="63">
        <f>100/'2008 Totals'!AH28*'2008 Totals'!Q28</f>
        <v>0</v>
      </c>
      <c r="R30" s="63">
        <f>100/'2008 Totals'!AH28*'2008 Totals'!R28</f>
        <v>4.615384615384615</v>
      </c>
      <c r="S30" s="63">
        <f>100/'2008 Totals'!AH28*'2008 Totals'!S28</f>
        <v>0</v>
      </c>
      <c r="T30" s="63">
        <f>100/'2008 Totals'!AH28*'2008 Totals'!T28</f>
        <v>0.2564102564102564</v>
      </c>
      <c r="U30" s="63">
        <f>100/'2008 Totals'!AH28*'2008 Totals'!U28</f>
        <v>0</v>
      </c>
      <c r="V30" s="63">
        <f>100/'2008 Totals'!AH28*'2008 Totals'!V28</f>
        <v>0</v>
      </c>
      <c r="W30" s="63">
        <f>100/'2008 Totals'!AH28*'2008 Totals'!W28</f>
        <v>0</v>
      </c>
      <c r="X30" s="63">
        <f>100/'2008 Totals'!AH28*'2008 Totals'!X28</f>
        <v>0</v>
      </c>
      <c r="Y30" s="63">
        <f>100/'2008 Totals'!AH28*'2008 Totals'!Y28</f>
        <v>0</v>
      </c>
      <c r="Z30" s="63">
        <f>100/'2008 Totals'!AH28*'2008 Totals'!Z28</f>
        <v>0</v>
      </c>
      <c r="AA30" s="63">
        <f>100/'2008 Totals'!AH28*'2008 Totals'!AA28</f>
        <v>0</v>
      </c>
      <c r="AB30" s="63">
        <f>100/'2008 Totals'!AH28*'2008 Totals'!AB28</f>
        <v>0</v>
      </c>
      <c r="AC30" s="63">
        <f>100/'2008 Totals'!AH28*'2008 Totals'!AC28</f>
        <v>0</v>
      </c>
      <c r="AD30" s="63">
        <f>100/'2008 Totals'!AH28*'2008 Totals'!AD28</f>
        <v>0</v>
      </c>
      <c r="AE30" s="63">
        <f>100/'2008 Totals'!AH28*'2008 Totals'!AE28</f>
        <v>0</v>
      </c>
      <c r="AF30" s="63">
        <f>100/'2008 Totals'!AH28*'2008 Totals'!AF28</f>
        <v>0</v>
      </c>
      <c r="AG30" s="63">
        <f>100/'2008 Totals'!AH28*'2008 Totals'!AG28</f>
        <v>0.5128205128205128</v>
      </c>
      <c r="AH30" s="65">
        <f>100/'2008 Totals'!AH46*'2008 Totals'!AH28</f>
        <v>2.5146689019279127</v>
      </c>
    </row>
    <row r="31" spans="2:34" ht="12.75">
      <c r="B31" s="45" t="s">
        <v>99</v>
      </c>
      <c r="C31" s="7">
        <v>3</v>
      </c>
      <c r="D31" s="7">
        <v>3</v>
      </c>
      <c r="E31" s="58" t="s">
        <v>92</v>
      </c>
      <c r="F31" s="63">
        <f>100/'2008 Totals'!AH29*'2008 Totals'!F29</f>
        <v>21.867881548974943</v>
      </c>
      <c r="G31" s="63">
        <f>100/'2008 Totals'!AH29*'2008 Totals'!G29</f>
        <v>0</v>
      </c>
      <c r="H31" s="63">
        <f>100/'2008 Totals'!AH29*'2008 Totals'!H29</f>
        <v>0</v>
      </c>
      <c r="I31" s="63">
        <f>100/'2008 Totals'!AH29*'2008 Totals'!I29</f>
        <v>0.22779043280182232</v>
      </c>
      <c r="J31" s="63">
        <f>100/'2008 Totals'!AH29*'2008 Totals'!J29</f>
        <v>5.239179954441913</v>
      </c>
      <c r="K31" s="63">
        <f>100/'2008 Totals'!AH29*'2008 Totals'!K29</f>
        <v>0</v>
      </c>
      <c r="L31" s="63">
        <f>100/'2008 Totals'!AH29*'2008 Totals'!L29</f>
        <v>0</v>
      </c>
      <c r="M31" s="63">
        <f>100/'2008 Totals'!AH29*'2008 Totals'!M29</f>
        <v>22.323462414578586</v>
      </c>
      <c r="N31" s="63">
        <f>100/'2008 Totals'!AH29*'2008 Totals'!N29</f>
        <v>45.558086560364465</v>
      </c>
      <c r="O31" s="63">
        <f>100/'2008 Totals'!AH29*'2008 Totals'!O29</f>
        <v>0.22779043280182232</v>
      </c>
      <c r="P31" s="63">
        <f>100/'2008 Totals'!AH29*'2008 Totals'!P29</f>
        <v>0</v>
      </c>
      <c r="Q31" s="63">
        <f>100/'2008 Totals'!AH29*'2008 Totals'!Q29</f>
        <v>0.22779043280182232</v>
      </c>
      <c r="R31" s="63">
        <f>100/'2008 Totals'!AH29*'2008 Totals'!R29</f>
        <v>3.8724373576309796</v>
      </c>
      <c r="S31" s="63">
        <f>100/'2008 Totals'!AH29*'2008 Totals'!S29</f>
        <v>0</v>
      </c>
      <c r="T31" s="63">
        <f>100/'2008 Totals'!AH29*'2008 Totals'!T29</f>
        <v>0</v>
      </c>
      <c r="U31" s="63">
        <f>100/'2008 Totals'!AH29*'2008 Totals'!U29</f>
        <v>0</v>
      </c>
      <c r="V31" s="63">
        <f>100/'2008 Totals'!AH29*'2008 Totals'!V29</f>
        <v>0</v>
      </c>
      <c r="W31" s="63">
        <f>100/'2008 Totals'!AH29*'2008 Totals'!W29</f>
        <v>0</v>
      </c>
      <c r="X31" s="63">
        <f>100/'2008 Totals'!AH29*'2008 Totals'!X29</f>
        <v>0</v>
      </c>
      <c r="Y31" s="63">
        <f>100/'2008 Totals'!AH29*'2008 Totals'!Y29</f>
        <v>0</v>
      </c>
      <c r="Z31" s="63">
        <f>100/'2008 Totals'!AH29*'2008 Totals'!Z29</f>
        <v>0.22779043280182232</v>
      </c>
      <c r="AA31" s="63">
        <f>100/'2008 Totals'!AH29*'2008 Totals'!AA29</f>
        <v>0</v>
      </c>
      <c r="AB31" s="63">
        <f>100/'2008 Totals'!AH29*'2008 Totals'!AB29</f>
        <v>0</v>
      </c>
      <c r="AC31" s="63">
        <f>100/'2008 Totals'!AH29*'2008 Totals'!AC29</f>
        <v>0</v>
      </c>
      <c r="AD31" s="63">
        <f>100/'2008 Totals'!AH29*'2008 Totals'!AD29</f>
        <v>0</v>
      </c>
      <c r="AE31" s="63">
        <f>100/'2008 Totals'!AH29*'2008 Totals'!AE29</f>
        <v>0</v>
      </c>
      <c r="AF31" s="63">
        <f>100/'2008 Totals'!AH29*'2008 Totals'!AF29</f>
        <v>0</v>
      </c>
      <c r="AG31" s="63">
        <f>100/'2008 Totals'!AH29*'2008 Totals'!AG29</f>
        <v>0.22779043280182232</v>
      </c>
      <c r="AH31" s="65">
        <f>100/'2008 Totals'!AH46*'2008 Totals'!AH29</f>
        <v>2.8306144819137273</v>
      </c>
    </row>
    <row r="32" spans="2:34" ht="12.75">
      <c r="B32" s="45" t="s">
        <v>100</v>
      </c>
      <c r="C32" s="41">
        <v>3</v>
      </c>
      <c r="D32" s="41">
        <v>4</v>
      </c>
      <c r="E32" s="58" t="s">
        <v>75</v>
      </c>
      <c r="F32" s="63">
        <f>100/'2008 Totals'!AH30*'2008 Totals'!F30</f>
        <v>17.73049645390071</v>
      </c>
      <c r="G32" s="63">
        <f>100/'2008 Totals'!AH30*'2008 Totals'!G30</f>
        <v>0</v>
      </c>
      <c r="H32" s="63">
        <f>100/'2008 Totals'!AH30*'2008 Totals'!H30</f>
        <v>0</v>
      </c>
      <c r="I32" s="63">
        <f>100/'2008 Totals'!AH30*'2008 Totals'!I30</f>
        <v>0.2364066193853428</v>
      </c>
      <c r="J32" s="63">
        <f>100/'2008 Totals'!AH30*'2008 Totals'!J30</f>
        <v>2.8368794326241136</v>
      </c>
      <c r="K32" s="63">
        <f>100/'2008 Totals'!AH30*'2008 Totals'!K30</f>
        <v>0.2364066193853428</v>
      </c>
      <c r="L32" s="63">
        <f>100/'2008 Totals'!AH30*'2008 Totals'!L30</f>
        <v>0</v>
      </c>
      <c r="M32" s="63">
        <f>100/'2008 Totals'!AH30*'2008 Totals'!M30</f>
        <v>22.22222222222222</v>
      </c>
      <c r="N32" s="63">
        <f>100/'2008 Totals'!AH30*'2008 Totals'!N30</f>
        <v>49.88179669030733</v>
      </c>
      <c r="O32" s="63">
        <f>100/'2008 Totals'!AH30*'2008 Totals'!O30</f>
        <v>0.2364066193853428</v>
      </c>
      <c r="P32" s="63">
        <f>100/'2008 Totals'!AH30*'2008 Totals'!P30</f>
        <v>0.2364066193853428</v>
      </c>
      <c r="Q32" s="63">
        <f>100/'2008 Totals'!AH30*'2008 Totals'!Q30</f>
        <v>0.2364066193853428</v>
      </c>
      <c r="R32" s="63">
        <f>100/'2008 Totals'!AH30*'2008 Totals'!R30</f>
        <v>4.964539007092199</v>
      </c>
      <c r="S32" s="63">
        <f>100/'2008 Totals'!AH30*'2008 Totals'!S30</f>
        <v>0</v>
      </c>
      <c r="T32" s="63">
        <f>100/'2008 Totals'!AH30*'2008 Totals'!T30</f>
        <v>0</v>
      </c>
      <c r="U32" s="63">
        <f>100/'2008 Totals'!AH30*'2008 Totals'!U30</f>
        <v>0</v>
      </c>
      <c r="V32" s="63">
        <f>100/'2008 Totals'!AH30*'2008 Totals'!V30</f>
        <v>0.2364066193853428</v>
      </c>
      <c r="W32" s="63">
        <f>100/'2008 Totals'!AH30*'2008 Totals'!W30</f>
        <v>0</v>
      </c>
      <c r="X32" s="63">
        <f>100/'2008 Totals'!AH30*'2008 Totals'!X30</f>
        <v>0</v>
      </c>
      <c r="Y32" s="63">
        <f>100/'2008 Totals'!AH30*'2008 Totals'!Y30</f>
        <v>0</v>
      </c>
      <c r="Z32" s="63">
        <f>100/'2008 Totals'!AH30*'2008 Totals'!Z30</f>
        <v>0</v>
      </c>
      <c r="AA32" s="63">
        <f>100/'2008 Totals'!AH30*'2008 Totals'!AA30</f>
        <v>0</v>
      </c>
      <c r="AB32" s="63">
        <f>100/'2008 Totals'!AH30*'2008 Totals'!AB30</f>
        <v>0</v>
      </c>
      <c r="AC32" s="63">
        <f>100/'2008 Totals'!AH30*'2008 Totals'!AC30</f>
        <v>0</v>
      </c>
      <c r="AD32" s="63">
        <f>100/'2008 Totals'!AH30*'2008 Totals'!AD30</f>
        <v>0</v>
      </c>
      <c r="AE32" s="63">
        <f>100/'2008 Totals'!AH30*'2008 Totals'!AE30</f>
        <v>0</v>
      </c>
      <c r="AF32" s="63">
        <f>100/'2008 Totals'!AH30*'2008 Totals'!AF30</f>
        <v>0</v>
      </c>
      <c r="AG32" s="63">
        <f>100/'2008 Totals'!AH30*'2008 Totals'!AG30</f>
        <v>0.9456264775413712</v>
      </c>
      <c r="AH32" s="65">
        <f>100/'2008 Totals'!AH46*'2008 Totals'!AH30</f>
        <v>2.72744857824489</v>
      </c>
    </row>
    <row r="33" spans="2:34" ht="12.75">
      <c r="B33" s="45" t="s">
        <v>100</v>
      </c>
      <c r="C33" s="41">
        <v>3</v>
      </c>
      <c r="D33" s="41">
        <v>4</v>
      </c>
      <c r="E33" s="58" t="s">
        <v>76</v>
      </c>
      <c r="F33" s="63">
        <f>100/'2008 Totals'!AH31*'2008 Totals'!F31</f>
        <v>17.291666666666668</v>
      </c>
      <c r="G33" s="63">
        <f>100/'2008 Totals'!AH31*'2008 Totals'!G31</f>
        <v>0</v>
      </c>
      <c r="H33" s="63">
        <f>100/'2008 Totals'!AH31*'2008 Totals'!H31</f>
        <v>0</v>
      </c>
      <c r="I33" s="63">
        <f>100/'2008 Totals'!AH31*'2008 Totals'!I31</f>
        <v>0.20833333333333334</v>
      </c>
      <c r="J33" s="63">
        <f>100/'2008 Totals'!AH31*'2008 Totals'!J31</f>
        <v>3.125</v>
      </c>
      <c r="K33" s="63">
        <f>100/'2008 Totals'!AH31*'2008 Totals'!K31</f>
        <v>0.4166666666666667</v>
      </c>
      <c r="L33" s="63">
        <f>100/'2008 Totals'!AH31*'2008 Totals'!L31</f>
        <v>0.20833333333333334</v>
      </c>
      <c r="M33" s="63">
        <f>100/'2008 Totals'!AH31*'2008 Totals'!M31</f>
        <v>17.916666666666668</v>
      </c>
      <c r="N33" s="63">
        <f>100/'2008 Totals'!AH31*'2008 Totals'!N31</f>
        <v>54.79166666666667</v>
      </c>
      <c r="O33" s="63">
        <f>100/'2008 Totals'!AH31*'2008 Totals'!O31</f>
        <v>0.20833333333333334</v>
      </c>
      <c r="P33" s="63">
        <f>100/'2008 Totals'!AH31*'2008 Totals'!P31</f>
        <v>0.20833333333333334</v>
      </c>
      <c r="Q33" s="63">
        <f>100/'2008 Totals'!AH31*'2008 Totals'!Q31</f>
        <v>0</v>
      </c>
      <c r="R33" s="63">
        <f>100/'2008 Totals'!AH31*'2008 Totals'!R31</f>
        <v>3.541666666666667</v>
      </c>
      <c r="S33" s="63">
        <f>100/'2008 Totals'!AH31*'2008 Totals'!S31</f>
        <v>0</v>
      </c>
      <c r="T33" s="63">
        <f>100/'2008 Totals'!AH31*'2008 Totals'!T31</f>
        <v>0</v>
      </c>
      <c r="U33" s="63">
        <f>100/'2008 Totals'!AH31*'2008 Totals'!U31</f>
        <v>0</v>
      </c>
      <c r="V33" s="63">
        <f>100/'2008 Totals'!AH31*'2008 Totals'!V31</f>
        <v>0.8333333333333334</v>
      </c>
      <c r="W33" s="63">
        <f>100/'2008 Totals'!AH31*'2008 Totals'!W31</f>
        <v>0.4166666666666667</v>
      </c>
      <c r="X33" s="63">
        <f>100/'2008 Totals'!AH31*'2008 Totals'!X31</f>
        <v>0</v>
      </c>
      <c r="Y33" s="63">
        <f>100/'2008 Totals'!AH31*'2008 Totals'!Y31</f>
        <v>0</v>
      </c>
      <c r="Z33" s="63">
        <f>100/'2008 Totals'!AH31*'2008 Totals'!Z31</f>
        <v>0</v>
      </c>
      <c r="AA33" s="63">
        <f>100/'2008 Totals'!AH31*'2008 Totals'!AA31</f>
        <v>0</v>
      </c>
      <c r="AB33" s="63">
        <f>100/'2008 Totals'!AH31*'2008 Totals'!AB31</f>
        <v>0</v>
      </c>
      <c r="AC33" s="63">
        <f>100/'2008 Totals'!AH31*'2008 Totals'!AC31</f>
        <v>0.20833333333333334</v>
      </c>
      <c r="AD33" s="63">
        <f>100/'2008 Totals'!AH31*'2008 Totals'!AD31</f>
        <v>0</v>
      </c>
      <c r="AE33" s="63">
        <f>100/'2008 Totals'!AH31*'2008 Totals'!AE31</f>
        <v>0</v>
      </c>
      <c r="AF33" s="63">
        <f>100/'2008 Totals'!AH31*'2008 Totals'!AF31</f>
        <v>0</v>
      </c>
      <c r="AG33" s="63">
        <f>100/'2008 Totals'!AH31*'2008 Totals'!AG31</f>
        <v>0.625</v>
      </c>
      <c r="AH33" s="65">
        <f>100/'2008 Totals'!AH46*'2008 Totals'!AH31</f>
        <v>3.0949771100651233</v>
      </c>
    </row>
    <row r="34" spans="2:34" ht="12.75">
      <c r="B34" s="45" t="s">
        <v>100</v>
      </c>
      <c r="C34" s="41">
        <v>3</v>
      </c>
      <c r="D34" s="41">
        <v>4</v>
      </c>
      <c r="E34" s="58" t="s">
        <v>92</v>
      </c>
      <c r="F34" s="63">
        <f>100/'2008 Totals'!AH32*'2008 Totals'!F32</f>
        <v>16.85823754789272</v>
      </c>
      <c r="G34" s="63">
        <f>100/'2008 Totals'!AH32*'2008 Totals'!G32</f>
        <v>0</v>
      </c>
      <c r="H34" s="63">
        <f>100/'2008 Totals'!AH32*'2008 Totals'!H32</f>
        <v>0</v>
      </c>
      <c r="I34" s="63">
        <f>100/'2008 Totals'!AH32*'2008 Totals'!I32</f>
        <v>0.3831417624521073</v>
      </c>
      <c r="J34" s="63">
        <f>100/'2008 Totals'!AH32*'2008 Totals'!J32</f>
        <v>3.0651340996168583</v>
      </c>
      <c r="K34" s="63">
        <f>100/'2008 Totals'!AH32*'2008 Totals'!K32</f>
        <v>0.19157088122605365</v>
      </c>
      <c r="L34" s="63">
        <f>100/'2008 Totals'!AH32*'2008 Totals'!L32</f>
        <v>0</v>
      </c>
      <c r="M34" s="63">
        <f>100/'2008 Totals'!AH32*'2008 Totals'!M32</f>
        <v>14.17624521072797</v>
      </c>
      <c r="N34" s="63">
        <f>100/'2008 Totals'!AH32*'2008 Totals'!N32</f>
        <v>57.662835249042146</v>
      </c>
      <c r="O34" s="63">
        <f>100/'2008 Totals'!AH32*'2008 Totals'!O32</f>
        <v>0</v>
      </c>
      <c r="P34" s="63">
        <f>100/'2008 Totals'!AH32*'2008 Totals'!P32</f>
        <v>0.19157088122605365</v>
      </c>
      <c r="Q34" s="63">
        <f>100/'2008 Totals'!AH32*'2008 Totals'!Q32</f>
        <v>0</v>
      </c>
      <c r="R34" s="63">
        <f>100/'2008 Totals'!AH32*'2008 Totals'!R32</f>
        <v>4.980842911877395</v>
      </c>
      <c r="S34" s="63">
        <f>100/'2008 Totals'!AH32*'2008 Totals'!S32</f>
        <v>0</v>
      </c>
      <c r="T34" s="63">
        <f>100/'2008 Totals'!AH32*'2008 Totals'!T32</f>
        <v>0</v>
      </c>
      <c r="U34" s="63">
        <f>100/'2008 Totals'!AH32*'2008 Totals'!U32</f>
        <v>0</v>
      </c>
      <c r="V34" s="63">
        <f>100/'2008 Totals'!AH32*'2008 Totals'!V32</f>
        <v>0.3831417624521073</v>
      </c>
      <c r="W34" s="63">
        <f>100/'2008 Totals'!AH32*'2008 Totals'!W32</f>
        <v>0.3831417624521073</v>
      </c>
      <c r="X34" s="63">
        <f>100/'2008 Totals'!AH32*'2008 Totals'!X32</f>
        <v>0</v>
      </c>
      <c r="Y34" s="63">
        <f>100/'2008 Totals'!AH32*'2008 Totals'!Y32</f>
        <v>0</v>
      </c>
      <c r="Z34" s="63">
        <f>100/'2008 Totals'!AH32*'2008 Totals'!Z32</f>
        <v>0</v>
      </c>
      <c r="AA34" s="63">
        <f>100/'2008 Totals'!AH32*'2008 Totals'!AA32</f>
        <v>0</v>
      </c>
      <c r="AB34" s="63">
        <f>100/'2008 Totals'!AH32*'2008 Totals'!AB32</f>
        <v>0.5747126436781609</v>
      </c>
      <c r="AC34" s="63">
        <f>100/'2008 Totals'!AH32*'2008 Totals'!AC32</f>
        <v>0</v>
      </c>
      <c r="AD34" s="63">
        <f>100/'2008 Totals'!AH32*'2008 Totals'!AD32</f>
        <v>0</v>
      </c>
      <c r="AE34" s="63">
        <f>100/'2008 Totals'!AH32*'2008 Totals'!AE32</f>
        <v>0</v>
      </c>
      <c r="AF34" s="63">
        <f>100/'2008 Totals'!AH32*'2008 Totals'!AF32</f>
        <v>0</v>
      </c>
      <c r="AG34" s="63">
        <f>100/'2008 Totals'!AH32*'2008 Totals'!AG32</f>
        <v>1.1494252873563218</v>
      </c>
      <c r="AH34" s="65">
        <f>100/'2008 Totals'!AH46*'2008 Totals'!AH32</f>
        <v>3.3657876071958217</v>
      </c>
    </row>
    <row r="35" spans="2:34" ht="12.75">
      <c r="B35" s="45" t="s">
        <v>98</v>
      </c>
      <c r="C35" s="41">
        <v>3</v>
      </c>
      <c r="D35" s="41">
        <v>5</v>
      </c>
      <c r="E35" s="58" t="s">
        <v>75</v>
      </c>
      <c r="F35" s="63">
        <f>100/'2008 Totals'!AH33*'2008 Totals'!F33</f>
        <v>20.53872053872054</v>
      </c>
      <c r="G35" s="63">
        <f>100/'2008 Totals'!AH33*'2008 Totals'!G33</f>
        <v>0</v>
      </c>
      <c r="H35" s="63">
        <f>100/'2008 Totals'!AH33*'2008 Totals'!H33</f>
        <v>0.3367003367003367</v>
      </c>
      <c r="I35" s="63">
        <f>100/'2008 Totals'!AH33*'2008 Totals'!I33</f>
        <v>0.3367003367003367</v>
      </c>
      <c r="J35" s="63">
        <f>100/'2008 Totals'!AH33*'2008 Totals'!J33</f>
        <v>2.3569023569023573</v>
      </c>
      <c r="K35" s="63">
        <f>100/'2008 Totals'!AH33*'2008 Totals'!K33</f>
        <v>0</v>
      </c>
      <c r="L35" s="63">
        <f>100/'2008 Totals'!AH33*'2008 Totals'!L33</f>
        <v>0.6734006734006734</v>
      </c>
      <c r="M35" s="63">
        <f>100/'2008 Totals'!AH33*'2008 Totals'!M33</f>
        <v>16.161616161616163</v>
      </c>
      <c r="N35" s="63">
        <f>100/'2008 Totals'!AH33*'2008 Totals'!N33</f>
        <v>51.17845117845118</v>
      </c>
      <c r="O35" s="63">
        <f>100/'2008 Totals'!AH33*'2008 Totals'!O33</f>
        <v>0</v>
      </c>
      <c r="P35" s="63">
        <f>100/'2008 Totals'!AH33*'2008 Totals'!P33</f>
        <v>0</v>
      </c>
      <c r="Q35" s="63">
        <f>100/'2008 Totals'!AH33*'2008 Totals'!Q33</f>
        <v>0</v>
      </c>
      <c r="R35" s="63">
        <f>100/'2008 Totals'!AH33*'2008 Totals'!R33</f>
        <v>6.397306397306398</v>
      </c>
      <c r="S35" s="63">
        <f>100/'2008 Totals'!AH33*'2008 Totals'!S33</f>
        <v>0.3367003367003367</v>
      </c>
      <c r="T35" s="63">
        <f>100/'2008 Totals'!AH33*'2008 Totals'!T33</f>
        <v>0</v>
      </c>
      <c r="U35" s="63">
        <f>100/'2008 Totals'!AH33*'2008 Totals'!U33</f>
        <v>0</v>
      </c>
      <c r="V35" s="63">
        <f>100/'2008 Totals'!AH33*'2008 Totals'!V33</f>
        <v>0.6734006734006734</v>
      </c>
      <c r="W35" s="63">
        <f>100/'2008 Totals'!AH33*'2008 Totals'!W33</f>
        <v>0.3367003367003367</v>
      </c>
      <c r="X35" s="63">
        <f>100/'2008 Totals'!AH33*'2008 Totals'!X33</f>
        <v>0</v>
      </c>
      <c r="Y35" s="63">
        <f>100/'2008 Totals'!AH33*'2008 Totals'!Y33</f>
        <v>0</v>
      </c>
      <c r="Z35" s="63">
        <f>100/'2008 Totals'!AH33*'2008 Totals'!Z33</f>
        <v>0.3367003367003367</v>
      </c>
      <c r="AA35" s="63">
        <f>100/'2008 Totals'!AH33*'2008 Totals'!AA33</f>
        <v>0</v>
      </c>
      <c r="AB35" s="63">
        <f>100/'2008 Totals'!AH33*'2008 Totals'!AB33</f>
        <v>0</v>
      </c>
      <c r="AC35" s="63">
        <f>100/'2008 Totals'!AH33*'2008 Totals'!AC33</f>
        <v>0</v>
      </c>
      <c r="AD35" s="63">
        <f>100/'2008 Totals'!AH33*'2008 Totals'!AD33</f>
        <v>0</v>
      </c>
      <c r="AE35" s="63">
        <f>100/'2008 Totals'!AH33*'2008 Totals'!AE33</f>
        <v>0</v>
      </c>
      <c r="AF35" s="63">
        <f>100/'2008 Totals'!AH33*'2008 Totals'!AF33</f>
        <v>0</v>
      </c>
      <c r="AG35" s="63">
        <f>100/'2008 Totals'!AH33*'2008 Totals'!AG33</f>
        <v>0.3367003367003367</v>
      </c>
      <c r="AH35" s="65">
        <f>100/'2008 Totals'!AH46*'2008 Totals'!AH33</f>
        <v>1.9150170868527951</v>
      </c>
    </row>
    <row r="36" spans="2:34" ht="12.75">
      <c r="B36" s="45" t="s">
        <v>98</v>
      </c>
      <c r="C36" s="41">
        <v>3</v>
      </c>
      <c r="D36" s="41">
        <v>5</v>
      </c>
      <c r="E36" s="58" t="s">
        <v>40</v>
      </c>
      <c r="F36" s="63">
        <f>100/'2008 Totals'!AH34*'2008 Totals'!F34</f>
        <v>19.814241486068113</v>
      </c>
      <c r="G36" s="63">
        <f>100/'2008 Totals'!AH34*'2008 Totals'!G34</f>
        <v>0</v>
      </c>
      <c r="H36" s="63">
        <f>100/'2008 Totals'!AH34*'2008 Totals'!H34</f>
        <v>0</v>
      </c>
      <c r="I36" s="63">
        <f>100/'2008 Totals'!AH34*'2008 Totals'!I34</f>
        <v>0.30959752321981426</v>
      </c>
      <c r="J36" s="63">
        <f>100/'2008 Totals'!AH34*'2008 Totals'!J34</f>
        <v>2.476780185758514</v>
      </c>
      <c r="K36" s="63">
        <f>100/'2008 Totals'!AH34*'2008 Totals'!K34</f>
        <v>0</v>
      </c>
      <c r="L36" s="63">
        <f>100/'2008 Totals'!AH34*'2008 Totals'!L34</f>
        <v>0</v>
      </c>
      <c r="M36" s="63">
        <f>100/'2008 Totals'!AH34*'2008 Totals'!M34</f>
        <v>15.789473684210527</v>
      </c>
      <c r="N36" s="63">
        <f>100/'2008 Totals'!AH34*'2008 Totals'!N34</f>
        <v>54.179566563467496</v>
      </c>
      <c r="O36" s="63">
        <f>100/'2008 Totals'!AH34*'2008 Totals'!O34</f>
        <v>0.6191950464396285</v>
      </c>
      <c r="P36" s="63">
        <f>100/'2008 Totals'!AH34*'2008 Totals'!P34</f>
        <v>0</v>
      </c>
      <c r="Q36" s="63">
        <f>100/'2008 Totals'!AH34*'2008 Totals'!Q34</f>
        <v>0</v>
      </c>
      <c r="R36" s="63">
        <f>100/'2008 Totals'!AH34*'2008 Totals'!R34</f>
        <v>5.882352941176471</v>
      </c>
      <c r="S36" s="63">
        <f>100/'2008 Totals'!AH34*'2008 Totals'!S34</f>
        <v>0</v>
      </c>
      <c r="T36" s="63">
        <f>100/'2008 Totals'!AH34*'2008 Totals'!T34</f>
        <v>0</v>
      </c>
      <c r="U36" s="63">
        <f>100/'2008 Totals'!AH34*'2008 Totals'!U34</f>
        <v>0</v>
      </c>
      <c r="V36" s="63">
        <f>100/'2008 Totals'!AH34*'2008 Totals'!V34</f>
        <v>0.30959752321981426</v>
      </c>
      <c r="W36" s="63">
        <f>100/'2008 Totals'!AH34*'2008 Totals'!W34</f>
        <v>0</v>
      </c>
      <c r="X36" s="63">
        <f>100/'2008 Totals'!AH34*'2008 Totals'!X34</f>
        <v>0</v>
      </c>
      <c r="Y36" s="63">
        <f>100/'2008 Totals'!AH34*'2008 Totals'!Y34</f>
        <v>0</v>
      </c>
      <c r="Z36" s="63">
        <f>100/'2008 Totals'!AH34*'2008 Totals'!Z34</f>
        <v>0</v>
      </c>
      <c r="AA36" s="63">
        <f>100/'2008 Totals'!AH34*'2008 Totals'!AA34</f>
        <v>0</v>
      </c>
      <c r="AB36" s="63">
        <f>100/'2008 Totals'!AH34*'2008 Totals'!AB34</f>
        <v>0</v>
      </c>
      <c r="AC36" s="63">
        <f>100/'2008 Totals'!AH34*'2008 Totals'!AC34</f>
        <v>0</v>
      </c>
      <c r="AD36" s="63">
        <f>100/'2008 Totals'!AH34*'2008 Totals'!AD34</f>
        <v>0</v>
      </c>
      <c r="AE36" s="63">
        <f>100/'2008 Totals'!AH34*'2008 Totals'!AE34</f>
        <v>0</v>
      </c>
      <c r="AF36" s="63">
        <f>100/'2008 Totals'!AH34*'2008 Totals'!AF34</f>
        <v>0</v>
      </c>
      <c r="AG36" s="63">
        <f>100/'2008 Totals'!AH34*'2008 Totals'!AG34</f>
        <v>0.6191950464396285</v>
      </c>
      <c r="AH36" s="65">
        <f>100/'2008 Totals'!AH46*'2008 Totals'!AH34</f>
        <v>2.082661680314656</v>
      </c>
    </row>
    <row r="37" spans="2:34" ht="12.75">
      <c r="B37" s="45" t="s">
        <v>101</v>
      </c>
      <c r="C37" s="41">
        <v>3</v>
      </c>
      <c r="D37" s="41">
        <v>6</v>
      </c>
      <c r="E37" s="58" t="s">
        <v>75</v>
      </c>
      <c r="F37" s="63">
        <f>100/'2008 Totals'!AH35*'2008 Totals'!F35</f>
        <v>23.556581986143186</v>
      </c>
      <c r="G37" s="63">
        <f>100/'2008 Totals'!AH35*'2008 Totals'!G35</f>
        <v>0</v>
      </c>
      <c r="H37" s="63">
        <f>100/'2008 Totals'!AH35*'2008 Totals'!H35</f>
        <v>0</v>
      </c>
      <c r="I37" s="63">
        <f>100/'2008 Totals'!AH35*'2008 Totals'!I35</f>
        <v>0.23094688221709006</v>
      </c>
      <c r="J37" s="63">
        <f>100/'2008 Totals'!AH35*'2008 Totals'!J35</f>
        <v>2.3094688221709005</v>
      </c>
      <c r="K37" s="63">
        <f>100/'2008 Totals'!AH35*'2008 Totals'!K35</f>
        <v>0</v>
      </c>
      <c r="L37" s="63">
        <f>100/'2008 Totals'!AH35*'2008 Totals'!L35</f>
        <v>0.23094688221709006</v>
      </c>
      <c r="M37" s="63">
        <f>100/'2008 Totals'!AH35*'2008 Totals'!M35</f>
        <v>16.628175519630485</v>
      </c>
      <c r="N37" s="63">
        <f>100/'2008 Totals'!AH35*'2008 Totals'!N35</f>
        <v>45.26558891454965</v>
      </c>
      <c r="O37" s="63">
        <f>100/'2008 Totals'!AH35*'2008 Totals'!O35</f>
        <v>0</v>
      </c>
      <c r="P37" s="63">
        <f>100/'2008 Totals'!AH35*'2008 Totals'!P35</f>
        <v>0.23094688221709006</v>
      </c>
      <c r="Q37" s="63">
        <f>100/'2008 Totals'!AH35*'2008 Totals'!Q35</f>
        <v>0</v>
      </c>
      <c r="R37" s="63">
        <f>100/'2008 Totals'!AH35*'2008 Totals'!R35</f>
        <v>9.930715935334872</v>
      </c>
      <c r="S37" s="63">
        <f>100/'2008 Totals'!AH35*'2008 Totals'!S35</f>
        <v>0</v>
      </c>
      <c r="T37" s="63">
        <f>100/'2008 Totals'!AH35*'2008 Totals'!T35</f>
        <v>0.4618937644341801</v>
      </c>
      <c r="U37" s="63">
        <f>100/'2008 Totals'!AH35*'2008 Totals'!U35</f>
        <v>0.4618937644341801</v>
      </c>
      <c r="V37" s="63">
        <f>100/'2008 Totals'!AH35*'2008 Totals'!V35</f>
        <v>0</v>
      </c>
      <c r="W37" s="63">
        <f>100/'2008 Totals'!AH35*'2008 Totals'!W35</f>
        <v>0</v>
      </c>
      <c r="X37" s="63">
        <f>100/'2008 Totals'!AH35*'2008 Totals'!X35</f>
        <v>0</v>
      </c>
      <c r="Y37" s="63">
        <f>100/'2008 Totals'!AH35*'2008 Totals'!Y35</f>
        <v>0</v>
      </c>
      <c r="Z37" s="63">
        <f>100/'2008 Totals'!AH35*'2008 Totals'!Z35</f>
        <v>0</v>
      </c>
      <c r="AA37" s="63">
        <f>100/'2008 Totals'!AH35*'2008 Totals'!AA35</f>
        <v>0</v>
      </c>
      <c r="AB37" s="63">
        <f>100/'2008 Totals'!AH35*'2008 Totals'!AB35</f>
        <v>0</v>
      </c>
      <c r="AC37" s="63">
        <f>100/'2008 Totals'!AH35*'2008 Totals'!AC35</f>
        <v>0</v>
      </c>
      <c r="AD37" s="63">
        <f>100/'2008 Totals'!AH35*'2008 Totals'!AD35</f>
        <v>0</v>
      </c>
      <c r="AE37" s="63">
        <f>100/'2008 Totals'!AH35*'2008 Totals'!AE35</f>
        <v>0</v>
      </c>
      <c r="AF37" s="63">
        <f>100/'2008 Totals'!AH35*'2008 Totals'!AF35</f>
        <v>0</v>
      </c>
      <c r="AG37" s="63">
        <f>100/'2008 Totals'!AH35*'2008 Totals'!AG35</f>
        <v>0.6928406466512702</v>
      </c>
      <c r="AH37" s="65">
        <f>100/'2008 Totals'!AH46*'2008 Totals'!AH35</f>
        <v>2.7919272680379135</v>
      </c>
    </row>
    <row r="38" spans="2:34" ht="12.75">
      <c r="B38" s="45" t="s">
        <v>101</v>
      </c>
      <c r="C38" s="41">
        <v>3</v>
      </c>
      <c r="D38" s="41">
        <v>6</v>
      </c>
      <c r="E38" s="58" t="s">
        <v>40</v>
      </c>
      <c r="F38" s="63">
        <f>100/'2008 Totals'!AH36*'2008 Totals'!F36</f>
        <v>26.203208556149733</v>
      </c>
      <c r="G38" s="63">
        <f>100/'2008 Totals'!AH36*'2008 Totals'!G36</f>
        <v>0.17825311942959002</v>
      </c>
      <c r="H38" s="63">
        <f>100/'2008 Totals'!AH36*'2008 Totals'!H36</f>
        <v>0</v>
      </c>
      <c r="I38" s="63">
        <f>100/'2008 Totals'!AH36*'2008 Totals'!I36</f>
        <v>0.17825311942959002</v>
      </c>
      <c r="J38" s="63">
        <f>100/'2008 Totals'!AH36*'2008 Totals'!J36</f>
        <v>2.4955436720142603</v>
      </c>
      <c r="K38" s="63">
        <f>100/'2008 Totals'!AH36*'2008 Totals'!K36</f>
        <v>0</v>
      </c>
      <c r="L38" s="63">
        <f>100/'2008 Totals'!AH36*'2008 Totals'!L36</f>
        <v>0.5347593582887701</v>
      </c>
      <c r="M38" s="63">
        <f>100/'2008 Totals'!AH36*'2008 Totals'!M36</f>
        <v>15.508021390374331</v>
      </c>
      <c r="N38" s="63">
        <f>100/'2008 Totals'!AH36*'2008 Totals'!N36</f>
        <v>43.31550802139037</v>
      </c>
      <c r="O38" s="63">
        <f>100/'2008 Totals'!AH36*'2008 Totals'!O36</f>
        <v>0.17825311942959002</v>
      </c>
      <c r="P38" s="63">
        <f>100/'2008 Totals'!AH36*'2008 Totals'!P36</f>
        <v>0</v>
      </c>
      <c r="Q38" s="63">
        <f>100/'2008 Totals'!AH36*'2008 Totals'!Q36</f>
        <v>0.17825311942959002</v>
      </c>
      <c r="R38" s="63">
        <f>100/'2008 Totals'!AH36*'2008 Totals'!R36</f>
        <v>9.44741532976827</v>
      </c>
      <c r="S38" s="63">
        <f>100/'2008 Totals'!AH36*'2008 Totals'!S36</f>
        <v>0</v>
      </c>
      <c r="T38" s="63">
        <f>100/'2008 Totals'!AH36*'2008 Totals'!T36</f>
        <v>0</v>
      </c>
      <c r="U38" s="63">
        <f>100/'2008 Totals'!AH36*'2008 Totals'!U36</f>
        <v>0.17825311942959002</v>
      </c>
      <c r="V38" s="63">
        <f>100/'2008 Totals'!AH36*'2008 Totals'!V36</f>
        <v>0.7130124777183601</v>
      </c>
      <c r="W38" s="63">
        <f>100/'2008 Totals'!AH36*'2008 Totals'!W36</f>
        <v>0</v>
      </c>
      <c r="X38" s="63">
        <f>100/'2008 Totals'!AH36*'2008 Totals'!X36</f>
        <v>0</v>
      </c>
      <c r="Y38" s="63">
        <f>100/'2008 Totals'!AH36*'2008 Totals'!Y36</f>
        <v>0</v>
      </c>
      <c r="Z38" s="63">
        <f>100/'2008 Totals'!AH36*'2008 Totals'!Z36</f>
        <v>0.17825311942959002</v>
      </c>
      <c r="AA38" s="63">
        <f>100/'2008 Totals'!AH36*'2008 Totals'!AA36</f>
        <v>0</v>
      </c>
      <c r="AB38" s="63">
        <f>100/'2008 Totals'!AH36*'2008 Totals'!AB36</f>
        <v>0</v>
      </c>
      <c r="AC38" s="63">
        <f>100/'2008 Totals'!AH36*'2008 Totals'!AC36</f>
        <v>0</v>
      </c>
      <c r="AD38" s="63">
        <f>100/'2008 Totals'!AH36*'2008 Totals'!AD36</f>
        <v>0</v>
      </c>
      <c r="AE38" s="63">
        <f>100/'2008 Totals'!AH36*'2008 Totals'!AE36</f>
        <v>0</v>
      </c>
      <c r="AF38" s="63">
        <f>100/'2008 Totals'!AH36*'2008 Totals'!AF36</f>
        <v>0</v>
      </c>
      <c r="AG38" s="63">
        <f>100/'2008 Totals'!AH36*'2008 Totals'!AG36</f>
        <v>0.7130124777183601</v>
      </c>
      <c r="AH38" s="65">
        <f>100/'2008 Totals'!AH46*'2008 Totals'!AH36</f>
        <v>3.617254497388613</v>
      </c>
    </row>
    <row r="39" spans="2:34" ht="12.75">
      <c r="B39" s="6" t="s">
        <v>83</v>
      </c>
      <c r="C39" s="7">
        <v>3</v>
      </c>
      <c r="D39" s="7">
        <v>7</v>
      </c>
      <c r="E39" s="58" t="s">
        <v>75</v>
      </c>
      <c r="F39" s="63">
        <f>100/'2008 Totals'!AH37*'2008 Totals'!F37</f>
        <v>20.266666666666666</v>
      </c>
      <c r="G39" s="63">
        <f>100/'2008 Totals'!AH37*'2008 Totals'!G37</f>
        <v>0</v>
      </c>
      <c r="H39" s="63">
        <f>100/'2008 Totals'!AH37*'2008 Totals'!H37</f>
        <v>0</v>
      </c>
      <c r="I39" s="63">
        <f>100/'2008 Totals'!AH37*'2008 Totals'!I37</f>
        <v>0.8</v>
      </c>
      <c r="J39" s="63">
        <f>100/'2008 Totals'!AH37*'2008 Totals'!J37</f>
        <v>2.4</v>
      </c>
      <c r="K39" s="63">
        <f>100/'2008 Totals'!AH37*'2008 Totals'!K37</f>
        <v>0.5333333333333333</v>
      </c>
      <c r="L39" s="63">
        <f>100/'2008 Totals'!AH37*'2008 Totals'!L37</f>
        <v>0</v>
      </c>
      <c r="M39" s="63">
        <f>100/'2008 Totals'!AH37*'2008 Totals'!M37</f>
        <v>28.53333333333333</v>
      </c>
      <c r="N39" s="63">
        <f>100/'2008 Totals'!AH37*'2008 Totals'!N37</f>
        <v>41.86666666666667</v>
      </c>
      <c r="O39" s="63">
        <f>100/'2008 Totals'!AH37*'2008 Totals'!O37</f>
        <v>0</v>
      </c>
      <c r="P39" s="63">
        <f>100/'2008 Totals'!AH37*'2008 Totals'!P37</f>
        <v>0.26666666666666666</v>
      </c>
      <c r="Q39" s="63">
        <f>100/'2008 Totals'!AH37*'2008 Totals'!Q37</f>
        <v>0.26666666666666666</v>
      </c>
      <c r="R39" s="63">
        <f>100/'2008 Totals'!AH37*'2008 Totals'!R37</f>
        <v>3.466666666666667</v>
      </c>
      <c r="S39" s="63">
        <f>100/'2008 Totals'!AH37*'2008 Totals'!S37</f>
        <v>0</v>
      </c>
      <c r="T39" s="63">
        <f>100/'2008 Totals'!AH37*'2008 Totals'!T37</f>
        <v>0</v>
      </c>
      <c r="U39" s="63">
        <f>100/'2008 Totals'!AH37*'2008 Totals'!U37</f>
        <v>0</v>
      </c>
      <c r="V39" s="63">
        <f>100/'2008 Totals'!AH37*'2008 Totals'!V37</f>
        <v>0.5333333333333333</v>
      </c>
      <c r="W39" s="63">
        <f>100/'2008 Totals'!AH37*'2008 Totals'!W37</f>
        <v>0</v>
      </c>
      <c r="X39" s="63">
        <f>100/'2008 Totals'!AH37*'2008 Totals'!X37</f>
        <v>0</v>
      </c>
      <c r="Y39" s="63">
        <f>100/'2008 Totals'!AH37*'2008 Totals'!Y37</f>
        <v>0</v>
      </c>
      <c r="Z39" s="63">
        <f>100/'2008 Totals'!AH37*'2008 Totals'!Z37</f>
        <v>0</v>
      </c>
      <c r="AA39" s="63">
        <f>100/'2008 Totals'!AH37*'2008 Totals'!AA37</f>
        <v>0</v>
      </c>
      <c r="AB39" s="63">
        <f>100/'2008 Totals'!AH37*'2008 Totals'!AB37</f>
        <v>0</v>
      </c>
      <c r="AC39" s="63">
        <f>100/'2008 Totals'!AH37*'2008 Totals'!AC37</f>
        <v>0</v>
      </c>
      <c r="AD39" s="63">
        <f>100/'2008 Totals'!AH37*'2008 Totals'!AD37</f>
        <v>0</v>
      </c>
      <c r="AE39" s="63">
        <f>100/'2008 Totals'!AH37*'2008 Totals'!AE37</f>
        <v>0</v>
      </c>
      <c r="AF39" s="63">
        <f>100/'2008 Totals'!AH37*'2008 Totals'!AF37</f>
        <v>0</v>
      </c>
      <c r="AG39" s="63">
        <f>100/'2008 Totals'!AH37*'2008 Totals'!AG37</f>
        <v>1.0666666666666667</v>
      </c>
      <c r="AH39" s="65">
        <f>100/'2008 Totals'!AH46*'2008 Totals'!AH37</f>
        <v>2.417950867238378</v>
      </c>
    </row>
    <row r="40" spans="2:34" ht="12.75">
      <c r="B40" s="6" t="s">
        <v>83</v>
      </c>
      <c r="C40" s="7">
        <v>3</v>
      </c>
      <c r="D40" s="7">
        <v>7</v>
      </c>
      <c r="E40" s="58" t="s">
        <v>76</v>
      </c>
      <c r="F40" s="63">
        <f>100/'2008 Totals'!AH38*'2008 Totals'!F38</f>
        <v>16.382978723404257</v>
      </c>
      <c r="G40" s="63">
        <f>100/'2008 Totals'!AH38*'2008 Totals'!G38</f>
        <v>0</v>
      </c>
      <c r="H40" s="63">
        <f>100/'2008 Totals'!AH38*'2008 Totals'!H38</f>
        <v>0</v>
      </c>
      <c r="I40" s="63">
        <f>100/'2008 Totals'!AH38*'2008 Totals'!I38</f>
        <v>0</v>
      </c>
      <c r="J40" s="63">
        <f>100/'2008 Totals'!AH38*'2008 Totals'!J38</f>
        <v>2.5531914893617023</v>
      </c>
      <c r="K40" s="63">
        <f>100/'2008 Totals'!AH38*'2008 Totals'!K38</f>
        <v>0.6382978723404256</v>
      </c>
      <c r="L40" s="63">
        <f>100/'2008 Totals'!AH38*'2008 Totals'!L38</f>
        <v>0</v>
      </c>
      <c r="M40" s="63">
        <f>100/'2008 Totals'!AH38*'2008 Totals'!M38</f>
        <v>22.97872340425532</v>
      </c>
      <c r="N40" s="63">
        <f>100/'2008 Totals'!AH38*'2008 Totals'!N38</f>
        <v>49.787234042553195</v>
      </c>
      <c r="O40" s="63">
        <f>100/'2008 Totals'!AH38*'2008 Totals'!O38</f>
        <v>0.2127659574468085</v>
      </c>
      <c r="P40" s="63">
        <f>100/'2008 Totals'!AH38*'2008 Totals'!P38</f>
        <v>0</v>
      </c>
      <c r="Q40" s="63">
        <f>100/'2008 Totals'!AH38*'2008 Totals'!Q38</f>
        <v>0.6382978723404256</v>
      </c>
      <c r="R40" s="63">
        <f>100/'2008 Totals'!AH38*'2008 Totals'!R38</f>
        <v>4.8936170212765955</v>
      </c>
      <c r="S40" s="63">
        <f>100/'2008 Totals'!AH38*'2008 Totals'!S38</f>
        <v>0</v>
      </c>
      <c r="T40" s="63">
        <f>100/'2008 Totals'!AH38*'2008 Totals'!T38</f>
        <v>0.2127659574468085</v>
      </c>
      <c r="U40" s="63">
        <f>100/'2008 Totals'!AH38*'2008 Totals'!U38</f>
        <v>0</v>
      </c>
      <c r="V40" s="63">
        <f>100/'2008 Totals'!AH38*'2008 Totals'!V38</f>
        <v>0.2127659574468085</v>
      </c>
      <c r="W40" s="63">
        <f>100/'2008 Totals'!AH38*'2008 Totals'!W38</f>
        <v>0.6382978723404256</v>
      </c>
      <c r="X40" s="63">
        <f>100/'2008 Totals'!AH38*'2008 Totals'!X38</f>
        <v>0</v>
      </c>
      <c r="Y40" s="63">
        <f>100/'2008 Totals'!AH38*'2008 Totals'!Y38</f>
        <v>0</v>
      </c>
      <c r="Z40" s="63">
        <f>100/'2008 Totals'!AH38*'2008 Totals'!Z38</f>
        <v>0.2127659574468085</v>
      </c>
      <c r="AA40" s="63">
        <f>100/'2008 Totals'!AH38*'2008 Totals'!AA38</f>
        <v>0</v>
      </c>
      <c r="AB40" s="63">
        <f>100/'2008 Totals'!AH38*'2008 Totals'!AB38</f>
        <v>0</v>
      </c>
      <c r="AC40" s="63">
        <f>100/'2008 Totals'!AH38*'2008 Totals'!AC38</f>
        <v>0</v>
      </c>
      <c r="AD40" s="63">
        <f>100/'2008 Totals'!AH38*'2008 Totals'!AD38</f>
        <v>0</v>
      </c>
      <c r="AE40" s="63">
        <f>100/'2008 Totals'!AH38*'2008 Totals'!AE38</f>
        <v>0</v>
      </c>
      <c r="AF40" s="63">
        <f>100/'2008 Totals'!AH38*'2008 Totals'!AF38</f>
        <v>0</v>
      </c>
      <c r="AG40" s="63">
        <f>100/'2008 Totals'!AH38*'2008 Totals'!AG38</f>
        <v>0.6382978723404256</v>
      </c>
      <c r="AH40" s="65">
        <f>100/'2008 Totals'!AH46*'2008 Totals'!AH38</f>
        <v>3.0304984202721</v>
      </c>
    </row>
    <row r="41" spans="2:34" ht="12.75">
      <c r="B41" s="6" t="s">
        <v>83</v>
      </c>
      <c r="C41" s="7">
        <v>3</v>
      </c>
      <c r="D41" s="7">
        <v>7</v>
      </c>
      <c r="E41" s="58" t="s">
        <v>92</v>
      </c>
      <c r="F41" s="63">
        <f>100/'2008 Totals'!AH39*'2008 Totals'!F39</f>
        <v>20.607375271149674</v>
      </c>
      <c r="G41" s="63">
        <f>100/'2008 Totals'!AH39*'2008 Totals'!G39</f>
        <v>0</v>
      </c>
      <c r="H41" s="63">
        <f>100/'2008 Totals'!AH39*'2008 Totals'!H39</f>
        <v>0</v>
      </c>
      <c r="I41" s="63">
        <f>100/'2008 Totals'!AH39*'2008 Totals'!I39</f>
        <v>0.21691973969631237</v>
      </c>
      <c r="J41" s="63">
        <f>100/'2008 Totals'!AH39*'2008 Totals'!J39</f>
        <v>2.819956616052061</v>
      </c>
      <c r="K41" s="63">
        <f>100/'2008 Totals'!AH39*'2008 Totals'!K39</f>
        <v>0.21691973969631237</v>
      </c>
      <c r="L41" s="63">
        <f>100/'2008 Totals'!AH39*'2008 Totals'!L39</f>
        <v>0.43383947939262474</v>
      </c>
      <c r="M41" s="63">
        <f>100/'2008 Totals'!AH39*'2008 Totals'!M39</f>
        <v>28.850325379609544</v>
      </c>
      <c r="N41" s="63">
        <f>100/'2008 Totals'!AH39*'2008 Totals'!N39</f>
        <v>42.29934924078091</v>
      </c>
      <c r="O41" s="63">
        <f>100/'2008 Totals'!AH39*'2008 Totals'!O39</f>
        <v>0.21691973969631237</v>
      </c>
      <c r="P41" s="63">
        <f>100/'2008 Totals'!AH39*'2008 Totals'!P39</f>
        <v>0</v>
      </c>
      <c r="Q41" s="63">
        <f>100/'2008 Totals'!AH39*'2008 Totals'!Q39</f>
        <v>0</v>
      </c>
      <c r="R41" s="63">
        <f>100/'2008 Totals'!AH39*'2008 Totals'!R39</f>
        <v>3.0368763557483733</v>
      </c>
      <c r="S41" s="63">
        <f>100/'2008 Totals'!AH39*'2008 Totals'!S39</f>
        <v>0</v>
      </c>
      <c r="T41" s="63">
        <f>100/'2008 Totals'!AH39*'2008 Totals'!T39</f>
        <v>0</v>
      </c>
      <c r="U41" s="63">
        <f>100/'2008 Totals'!AH39*'2008 Totals'!U39</f>
        <v>0</v>
      </c>
      <c r="V41" s="63">
        <f>100/'2008 Totals'!AH39*'2008 Totals'!V39</f>
        <v>0</v>
      </c>
      <c r="W41" s="63">
        <f>100/'2008 Totals'!AH39*'2008 Totals'!W39</f>
        <v>0</v>
      </c>
      <c r="X41" s="63">
        <f>100/'2008 Totals'!AH39*'2008 Totals'!X39</f>
        <v>0</v>
      </c>
      <c r="Y41" s="63">
        <f>100/'2008 Totals'!AH39*'2008 Totals'!Y39</f>
        <v>0</v>
      </c>
      <c r="Z41" s="63">
        <f>100/'2008 Totals'!AH39*'2008 Totals'!Z39</f>
        <v>0</v>
      </c>
      <c r="AA41" s="63">
        <f>100/'2008 Totals'!AH39*'2008 Totals'!AA39</f>
        <v>0</v>
      </c>
      <c r="AB41" s="63">
        <f>100/'2008 Totals'!AH39*'2008 Totals'!AB39</f>
        <v>0</v>
      </c>
      <c r="AC41" s="63">
        <f>100/'2008 Totals'!AH39*'2008 Totals'!AC39</f>
        <v>0</v>
      </c>
      <c r="AD41" s="63">
        <f>100/'2008 Totals'!AH39*'2008 Totals'!AD39</f>
        <v>0</v>
      </c>
      <c r="AE41" s="63">
        <f>100/'2008 Totals'!AH39*'2008 Totals'!AE39</f>
        <v>0</v>
      </c>
      <c r="AF41" s="63">
        <f>100/'2008 Totals'!AH39*'2008 Totals'!AF39</f>
        <v>0</v>
      </c>
      <c r="AG41" s="63">
        <f>100/'2008 Totals'!AH39*'2008 Totals'!AG39</f>
        <v>1.3015184381778742</v>
      </c>
      <c r="AH41" s="65">
        <f>100/'2008 Totals'!AH46*'2008 Totals'!AH39</f>
        <v>2.972467599458379</v>
      </c>
    </row>
    <row r="42" spans="2:34" ht="12.75">
      <c r="B42" s="45" t="s">
        <v>102</v>
      </c>
      <c r="C42" s="41">
        <v>3</v>
      </c>
      <c r="D42" s="41">
        <v>8</v>
      </c>
      <c r="E42" s="58" t="s">
        <v>75</v>
      </c>
      <c r="F42" s="63">
        <f>100/'2008 Totals'!AH40*'2008 Totals'!F40</f>
        <v>18.544600938967136</v>
      </c>
      <c r="G42" s="63">
        <f>100/'2008 Totals'!AH40*'2008 Totals'!G40</f>
        <v>0</v>
      </c>
      <c r="H42" s="63">
        <f>100/'2008 Totals'!AH40*'2008 Totals'!H40</f>
        <v>0</v>
      </c>
      <c r="I42" s="63">
        <f>100/'2008 Totals'!AH40*'2008 Totals'!I40</f>
        <v>0.4694835680751174</v>
      </c>
      <c r="J42" s="63">
        <f>100/'2008 Totals'!AH40*'2008 Totals'!J40</f>
        <v>2.347417840375587</v>
      </c>
      <c r="K42" s="63">
        <f>100/'2008 Totals'!AH40*'2008 Totals'!K40</f>
        <v>0</v>
      </c>
      <c r="L42" s="63">
        <f>100/'2008 Totals'!AH40*'2008 Totals'!L40</f>
        <v>0.2347417840375587</v>
      </c>
      <c r="M42" s="63">
        <f>100/'2008 Totals'!AH40*'2008 Totals'!M40</f>
        <v>23.004694835680752</v>
      </c>
      <c r="N42" s="63">
        <f>100/'2008 Totals'!AH40*'2008 Totals'!N40</f>
        <v>51.64319248826291</v>
      </c>
      <c r="O42" s="63">
        <f>100/'2008 Totals'!AH40*'2008 Totals'!O40</f>
        <v>0</v>
      </c>
      <c r="P42" s="63">
        <f>100/'2008 Totals'!AH40*'2008 Totals'!P40</f>
        <v>0</v>
      </c>
      <c r="Q42" s="63">
        <f>100/'2008 Totals'!AH40*'2008 Totals'!Q40</f>
        <v>0</v>
      </c>
      <c r="R42" s="63">
        <f>100/'2008 Totals'!AH40*'2008 Totals'!R40</f>
        <v>3.051643192488263</v>
      </c>
      <c r="S42" s="63">
        <f>100/'2008 Totals'!AH40*'2008 Totals'!S40</f>
        <v>0</v>
      </c>
      <c r="T42" s="63">
        <f>100/'2008 Totals'!AH40*'2008 Totals'!T40</f>
        <v>0</v>
      </c>
      <c r="U42" s="63">
        <f>100/'2008 Totals'!AH40*'2008 Totals'!U40</f>
        <v>0</v>
      </c>
      <c r="V42" s="63">
        <f>100/'2008 Totals'!AH40*'2008 Totals'!V40</f>
        <v>0</v>
      </c>
      <c r="W42" s="63">
        <f>100/'2008 Totals'!AH40*'2008 Totals'!W40</f>
        <v>0</v>
      </c>
      <c r="X42" s="63">
        <f>100/'2008 Totals'!AH40*'2008 Totals'!X40</f>
        <v>0</v>
      </c>
      <c r="Y42" s="63">
        <f>100/'2008 Totals'!AH40*'2008 Totals'!Y40</f>
        <v>0</v>
      </c>
      <c r="Z42" s="63">
        <f>100/'2008 Totals'!AH40*'2008 Totals'!Z40</f>
        <v>0</v>
      </c>
      <c r="AA42" s="63">
        <f>100/'2008 Totals'!AH40*'2008 Totals'!AA40</f>
        <v>0</v>
      </c>
      <c r="AB42" s="63">
        <f>100/'2008 Totals'!AH40*'2008 Totals'!AB40</f>
        <v>0</v>
      </c>
      <c r="AC42" s="63">
        <f>100/'2008 Totals'!AH40*'2008 Totals'!AC40</f>
        <v>0</v>
      </c>
      <c r="AD42" s="63">
        <f>100/'2008 Totals'!AH40*'2008 Totals'!AD40</f>
        <v>0</v>
      </c>
      <c r="AE42" s="63">
        <f>100/'2008 Totals'!AH40*'2008 Totals'!AE40</f>
        <v>0</v>
      </c>
      <c r="AF42" s="63">
        <f>100/'2008 Totals'!AH40*'2008 Totals'!AF40</f>
        <v>0</v>
      </c>
      <c r="AG42" s="63">
        <f>100/'2008 Totals'!AH40*'2008 Totals'!AG40</f>
        <v>0.704225352112676</v>
      </c>
      <c r="AH42" s="65">
        <f>100/'2008 Totals'!AH46*'2008 Totals'!AH40</f>
        <v>2.746792185182797</v>
      </c>
    </row>
    <row r="43" spans="2:34" ht="12.75">
      <c r="B43" s="45" t="s">
        <v>102</v>
      </c>
      <c r="C43" s="41">
        <v>3</v>
      </c>
      <c r="D43" s="41">
        <v>8</v>
      </c>
      <c r="E43" s="58" t="s">
        <v>40</v>
      </c>
      <c r="F43" s="63">
        <f>100/'2008 Totals'!AH41*'2008 Totals'!F41</f>
        <v>14.623655913978494</v>
      </c>
      <c r="G43" s="63">
        <f>100/'2008 Totals'!AH41*'2008 Totals'!G41</f>
        <v>0</v>
      </c>
      <c r="H43" s="63">
        <f>100/'2008 Totals'!AH41*'2008 Totals'!H41</f>
        <v>0</v>
      </c>
      <c r="I43" s="63">
        <f>100/'2008 Totals'!AH41*'2008 Totals'!I41</f>
        <v>0.8602150537634409</v>
      </c>
      <c r="J43" s="63">
        <f>100/'2008 Totals'!AH41*'2008 Totals'!J41</f>
        <v>0</v>
      </c>
      <c r="K43" s="63">
        <f>100/'2008 Totals'!AH41*'2008 Totals'!K41</f>
        <v>0</v>
      </c>
      <c r="L43" s="63">
        <f>100/'2008 Totals'!AH41*'2008 Totals'!L41</f>
        <v>0</v>
      </c>
      <c r="M43" s="63">
        <f>100/'2008 Totals'!AH41*'2008 Totals'!M41</f>
        <v>29.032258064516128</v>
      </c>
      <c r="N43" s="63">
        <f>100/'2008 Totals'!AH41*'2008 Totals'!N41</f>
        <v>51.182795698924735</v>
      </c>
      <c r="O43" s="63">
        <f>100/'2008 Totals'!AH41*'2008 Totals'!O41</f>
        <v>0</v>
      </c>
      <c r="P43" s="63">
        <f>100/'2008 Totals'!AH41*'2008 Totals'!P41</f>
        <v>0</v>
      </c>
      <c r="Q43" s="63">
        <f>100/'2008 Totals'!AH41*'2008 Totals'!Q41</f>
        <v>0.21505376344086022</v>
      </c>
      <c r="R43" s="63">
        <f>100/'2008 Totals'!AH41*'2008 Totals'!R41</f>
        <v>3.6559139784946235</v>
      </c>
      <c r="S43" s="63">
        <f>100/'2008 Totals'!AH41*'2008 Totals'!S41</f>
        <v>0</v>
      </c>
      <c r="T43" s="63">
        <f>100/'2008 Totals'!AH41*'2008 Totals'!T41</f>
        <v>0</v>
      </c>
      <c r="U43" s="63">
        <f>100/'2008 Totals'!AH41*'2008 Totals'!U41</f>
        <v>0</v>
      </c>
      <c r="V43" s="63">
        <f>100/'2008 Totals'!AH41*'2008 Totals'!V41</f>
        <v>0</v>
      </c>
      <c r="W43" s="63">
        <f>100/'2008 Totals'!AH41*'2008 Totals'!W41</f>
        <v>0.21505376344086022</v>
      </c>
      <c r="X43" s="63">
        <f>100/'2008 Totals'!AH41*'2008 Totals'!X41</f>
        <v>0</v>
      </c>
      <c r="Y43" s="63">
        <f>100/'2008 Totals'!AH41*'2008 Totals'!Y41</f>
        <v>0</v>
      </c>
      <c r="Z43" s="63">
        <f>100/'2008 Totals'!AH41*'2008 Totals'!Z41</f>
        <v>0</v>
      </c>
      <c r="AA43" s="63">
        <f>100/'2008 Totals'!AH41*'2008 Totals'!AA41</f>
        <v>0</v>
      </c>
      <c r="AB43" s="63">
        <f>100/'2008 Totals'!AH41*'2008 Totals'!AB41</f>
        <v>0</v>
      </c>
      <c r="AC43" s="63">
        <f>100/'2008 Totals'!AH41*'2008 Totals'!AC41</f>
        <v>0</v>
      </c>
      <c r="AD43" s="63">
        <f>100/'2008 Totals'!AH41*'2008 Totals'!AD41</f>
        <v>0</v>
      </c>
      <c r="AE43" s="63">
        <f>100/'2008 Totals'!AH41*'2008 Totals'!AE41</f>
        <v>0</v>
      </c>
      <c r="AF43" s="63">
        <f>100/'2008 Totals'!AH41*'2008 Totals'!AF41</f>
        <v>0</v>
      </c>
      <c r="AG43" s="63">
        <f>100/'2008 Totals'!AH41*'2008 Totals'!AG41</f>
        <v>0.21505376344086022</v>
      </c>
      <c r="AH43" s="65">
        <f>100/'2008 Totals'!AH46*'2008 Totals'!AH41</f>
        <v>2.9982590753755884</v>
      </c>
    </row>
    <row r="44" spans="2:34" ht="12.75">
      <c r="B44" s="45" t="s">
        <v>102</v>
      </c>
      <c r="C44" s="41">
        <v>3</v>
      </c>
      <c r="D44" s="41">
        <v>8</v>
      </c>
      <c r="E44" s="58" t="s">
        <v>92</v>
      </c>
      <c r="F44" s="63">
        <f>100/'2008 Totals'!AH42*'2008 Totals'!F42</f>
        <v>16.53992395437262</v>
      </c>
      <c r="G44" s="63">
        <f>100/'2008 Totals'!AH42*'2008 Totals'!G42</f>
        <v>0</v>
      </c>
      <c r="H44" s="63">
        <f>100/'2008 Totals'!AH42*'2008 Totals'!H42</f>
        <v>0</v>
      </c>
      <c r="I44" s="63">
        <f>100/'2008 Totals'!AH42*'2008 Totals'!I42</f>
        <v>0.38022813688212925</v>
      </c>
      <c r="J44" s="63">
        <f>100/'2008 Totals'!AH42*'2008 Totals'!J42</f>
        <v>3.6121673003802277</v>
      </c>
      <c r="K44" s="63">
        <f>100/'2008 Totals'!AH42*'2008 Totals'!K42</f>
        <v>0</v>
      </c>
      <c r="L44" s="63">
        <f>100/'2008 Totals'!AH42*'2008 Totals'!L42</f>
        <v>0</v>
      </c>
      <c r="M44" s="63">
        <f>100/'2008 Totals'!AH42*'2008 Totals'!M42</f>
        <v>19.581749049429657</v>
      </c>
      <c r="N44" s="63">
        <f>100/'2008 Totals'!AH42*'2008 Totals'!N42</f>
        <v>54.94296577946768</v>
      </c>
      <c r="O44" s="63">
        <f>100/'2008 Totals'!AH42*'2008 Totals'!O42</f>
        <v>0</v>
      </c>
      <c r="P44" s="63">
        <f>100/'2008 Totals'!AH42*'2008 Totals'!P42</f>
        <v>0</v>
      </c>
      <c r="Q44" s="63">
        <f>100/'2008 Totals'!AH42*'2008 Totals'!Q42</f>
        <v>0</v>
      </c>
      <c r="R44" s="63">
        <f>100/'2008 Totals'!AH42*'2008 Totals'!R42</f>
        <v>3.8022813688212924</v>
      </c>
      <c r="S44" s="63">
        <f>100/'2008 Totals'!AH42*'2008 Totals'!S42</f>
        <v>0</v>
      </c>
      <c r="T44" s="63">
        <f>100/'2008 Totals'!AH42*'2008 Totals'!T42</f>
        <v>0</v>
      </c>
      <c r="U44" s="63">
        <f>100/'2008 Totals'!AH42*'2008 Totals'!U42</f>
        <v>0.19011406844106463</v>
      </c>
      <c r="V44" s="63">
        <f>100/'2008 Totals'!AH42*'2008 Totals'!V42</f>
        <v>0</v>
      </c>
      <c r="W44" s="63">
        <f>100/'2008 Totals'!AH42*'2008 Totals'!W42</f>
        <v>0.19011406844106463</v>
      </c>
      <c r="X44" s="63">
        <f>100/'2008 Totals'!AH42*'2008 Totals'!X42</f>
        <v>0</v>
      </c>
      <c r="Y44" s="63">
        <f>100/'2008 Totals'!AH42*'2008 Totals'!Y42</f>
        <v>0</v>
      </c>
      <c r="Z44" s="63">
        <f>100/'2008 Totals'!AH42*'2008 Totals'!Z42</f>
        <v>0</v>
      </c>
      <c r="AA44" s="63">
        <f>100/'2008 Totals'!AH42*'2008 Totals'!AA42</f>
        <v>0</v>
      </c>
      <c r="AB44" s="63">
        <f>100/'2008 Totals'!AH42*'2008 Totals'!AB42</f>
        <v>0</v>
      </c>
      <c r="AC44" s="63">
        <f>100/'2008 Totals'!AH42*'2008 Totals'!AC42</f>
        <v>0</v>
      </c>
      <c r="AD44" s="63">
        <f>100/'2008 Totals'!AH42*'2008 Totals'!AD42</f>
        <v>0</v>
      </c>
      <c r="AE44" s="63">
        <f>100/'2008 Totals'!AH42*'2008 Totals'!AE42</f>
        <v>0.19011406844106463</v>
      </c>
      <c r="AF44" s="63">
        <f>100/'2008 Totals'!AH42*'2008 Totals'!AF42</f>
        <v>0</v>
      </c>
      <c r="AG44" s="63">
        <f>100/'2008 Totals'!AH42*'2008 Totals'!AG42</f>
        <v>0.5703422053231939</v>
      </c>
      <c r="AH44" s="65">
        <f>100/'2008 Totals'!AH46*'2008 Totals'!AH42</f>
        <v>3.3915790831130312</v>
      </c>
    </row>
    <row r="45" spans="2:34" ht="12.75">
      <c r="B45" s="45" t="s">
        <v>103</v>
      </c>
      <c r="C45" s="41">
        <v>3</v>
      </c>
      <c r="D45" s="41">
        <v>9</v>
      </c>
      <c r="E45" s="58" t="s">
        <v>75</v>
      </c>
      <c r="F45" s="63">
        <f>100/'2008 Totals'!AH43*'2008 Totals'!F43</f>
        <v>23.192771084337352</v>
      </c>
      <c r="G45" s="63">
        <f>100/'2008 Totals'!AH43*'2008 Totals'!G43</f>
        <v>0</v>
      </c>
      <c r="H45" s="63">
        <f>100/'2008 Totals'!AH43*'2008 Totals'!H43</f>
        <v>0</v>
      </c>
      <c r="I45" s="63">
        <f>100/'2008 Totals'!AH43*'2008 Totals'!I43</f>
        <v>0.30120481927710846</v>
      </c>
      <c r="J45" s="63">
        <f>100/'2008 Totals'!AH43*'2008 Totals'!J43</f>
        <v>3.6144578313253017</v>
      </c>
      <c r="K45" s="63">
        <f>100/'2008 Totals'!AH43*'2008 Totals'!K43</f>
        <v>0</v>
      </c>
      <c r="L45" s="63">
        <f>100/'2008 Totals'!AH43*'2008 Totals'!L43</f>
        <v>0</v>
      </c>
      <c r="M45" s="63">
        <f>100/'2008 Totals'!AH43*'2008 Totals'!M43</f>
        <v>22.89156626506024</v>
      </c>
      <c r="N45" s="63">
        <f>100/'2008 Totals'!AH43*'2008 Totals'!N43</f>
        <v>40.06024096385543</v>
      </c>
      <c r="O45" s="63">
        <f>100/'2008 Totals'!AH43*'2008 Totals'!O43</f>
        <v>0</v>
      </c>
      <c r="P45" s="63">
        <f>100/'2008 Totals'!AH43*'2008 Totals'!P43</f>
        <v>1.2048192771084338</v>
      </c>
      <c r="Q45" s="63">
        <f>100/'2008 Totals'!AH43*'2008 Totals'!Q43</f>
        <v>0.30120481927710846</v>
      </c>
      <c r="R45" s="63">
        <f>100/'2008 Totals'!AH43*'2008 Totals'!R43</f>
        <v>7.2289156626506035</v>
      </c>
      <c r="S45" s="63">
        <f>100/'2008 Totals'!AH43*'2008 Totals'!S43</f>
        <v>0</v>
      </c>
      <c r="T45" s="63">
        <f>100/'2008 Totals'!AH43*'2008 Totals'!T43</f>
        <v>0</v>
      </c>
      <c r="U45" s="63">
        <f>100/'2008 Totals'!AH43*'2008 Totals'!U43</f>
        <v>0</v>
      </c>
      <c r="V45" s="63">
        <f>100/'2008 Totals'!AH43*'2008 Totals'!V43</f>
        <v>0</v>
      </c>
      <c r="W45" s="63">
        <f>100/'2008 Totals'!AH43*'2008 Totals'!W43</f>
        <v>0</v>
      </c>
      <c r="X45" s="63">
        <f>100/'2008 Totals'!AH43*'2008 Totals'!X43</f>
        <v>0</v>
      </c>
      <c r="Y45" s="63">
        <f>100/'2008 Totals'!AH43*'2008 Totals'!Y43</f>
        <v>0</v>
      </c>
      <c r="Z45" s="63">
        <f>100/'2008 Totals'!AH43*'2008 Totals'!Z43</f>
        <v>0</v>
      </c>
      <c r="AA45" s="63">
        <f>100/'2008 Totals'!AH43*'2008 Totals'!AA43</f>
        <v>0</v>
      </c>
      <c r="AB45" s="63">
        <f>100/'2008 Totals'!AH43*'2008 Totals'!AB43</f>
        <v>0</v>
      </c>
      <c r="AC45" s="63">
        <f>100/'2008 Totals'!AH43*'2008 Totals'!AC43</f>
        <v>0</v>
      </c>
      <c r="AD45" s="63">
        <f>100/'2008 Totals'!AH43*'2008 Totals'!AD43</f>
        <v>0</v>
      </c>
      <c r="AE45" s="63">
        <f>100/'2008 Totals'!AH43*'2008 Totals'!AE43</f>
        <v>0</v>
      </c>
      <c r="AF45" s="63">
        <f>100/'2008 Totals'!AH43*'2008 Totals'!AF43</f>
        <v>0</v>
      </c>
      <c r="AG45" s="63">
        <f>100/'2008 Totals'!AH43*'2008 Totals'!AG43</f>
        <v>1.2048192771084338</v>
      </c>
      <c r="AH45" s="65">
        <f>100/'2008 Totals'!AH46*'2008 Totals'!AH43</f>
        <v>2.140692501128377</v>
      </c>
    </row>
    <row r="46" spans="2:34" ht="12.75">
      <c r="B46" s="45" t="s">
        <v>103</v>
      </c>
      <c r="C46" s="41">
        <v>3</v>
      </c>
      <c r="D46" s="41">
        <v>9</v>
      </c>
      <c r="E46" s="58" t="s">
        <v>40</v>
      </c>
      <c r="F46" s="63">
        <f>100/'2008 Totals'!AH44*'2008 Totals'!F44</f>
        <v>22.73972602739726</v>
      </c>
      <c r="G46" s="63">
        <f>100/'2008 Totals'!AH44*'2008 Totals'!G44</f>
        <v>0</v>
      </c>
      <c r="H46" s="63">
        <f>100/'2008 Totals'!AH44*'2008 Totals'!H44</f>
        <v>0</v>
      </c>
      <c r="I46" s="63">
        <f>100/'2008 Totals'!AH44*'2008 Totals'!I44</f>
        <v>0.547945205479452</v>
      </c>
      <c r="J46" s="63">
        <f>100/'2008 Totals'!AH44*'2008 Totals'!J44</f>
        <v>1.095890410958904</v>
      </c>
      <c r="K46" s="63">
        <f>100/'2008 Totals'!AH44*'2008 Totals'!K44</f>
        <v>0</v>
      </c>
      <c r="L46" s="63">
        <f>100/'2008 Totals'!AH44*'2008 Totals'!L44</f>
        <v>0</v>
      </c>
      <c r="M46" s="63">
        <f>100/'2008 Totals'!AH44*'2008 Totals'!M44</f>
        <v>24.65753424657534</v>
      </c>
      <c r="N46" s="63">
        <f>100/'2008 Totals'!AH44*'2008 Totals'!N44</f>
        <v>40.54794520547945</v>
      </c>
      <c r="O46" s="63">
        <f>100/'2008 Totals'!AH44*'2008 Totals'!O44</f>
        <v>0</v>
      </c>
      <c r="P46" s="63">
        <f>100/'2008 Totals'!AH44*'2008 Totals'!P44</f>
        <v>0.273972602739726</v>
      </c>
      <c r="Q46" s="63">
        <f>100/'2008 Totals'!AH44*'2008 Totals'!Q44</f>
        <v>0</v>
      </c>
      <c r="R46" s="63">
        <f>100/'2008 Totals'!AH44*'2008 Totals'!R44</f>
        <v>8.21917808219178</v>
      </c>
      <c r="S46" s="63">
        <f>100/'2008 Totals'!AH44*'2008 Totals'!S44</f>
        <v>0</v>
      </c>
      <c r="T46" s="63">
        <f>100/'2008 Totals'!AH44*'2008 Totals'!T44</f>
        <v>0</v>
      </c>
      <c r="U46" s="63">
        <f>100/'2008 Totals'!AH44*'2008 Totals'!U44</f>
        <v>0.273972602739726</v>
      </c>
      <c r="V46" s="63">
        <f>100/'2008 Totals'!AH44*'2008 Totals'!V44</f>
        <v>0</v>
      </c>
      <c r="W46" s="63">
        <f>100/'2008 Totals'!AH44*'2008 Totals'!W44</f>
        <v>0</v>
      </c>
      <c r="X46" s="63">
        <f>100/'2008 Totals'!AH44*'2008 Totals'!X44</f>
        <v>0</v>
      </c>
      <c r="Y46" s="63">
        <f>100/'2008 Totals'!AH44*'2008 Totals'!Y44</f>
        <v>0</v>
      </c>
      <c r="Z46" s="63">
        <f>100/'2008 Totals'!AH44*'2008 Totals'!Z44</f>
        <v>0</v>
      </c>
      <c r="AA46" s="63">
        <f>100/'2008 Totals'!AH44*'2008 Totals'!AA44</f>
        <v>0</v>
      </c>
      <c r="AB46" s="63">
        <f>100/'2008 Totals'!AH44*'2008 Totals'!AB44</f>
        <v>0</v>
      </c>
      <c r="AC46" s="63">
        <f>100/'2008 Totals'!AH44*'2008 Totals'!AC44</f>
        <v>0</v>
      </c>
      <c r="AD46" s="63">
        <f>100/'2008 Totals'!AH44*'2008 Totals'!AD44</f>
        <v>0</v>
      </c>
      <c r="AE46" s="63">
        <f>100/'2008 Totals'!AH44*'2008 Totals'!AE44</f>
        <v>0</v>
      </c>
      <c r="AF46" s="63">
        <f>100/'2008 Totals'!AH44*'2008 Totals'!AF44</f>
        <v>0</v>
      </c>
      <c r="AG46" s="63">
        <f>100/'2008 Totals'!AH44*'2008 Totals'!AG44</f>
        <v>1.643835616438356</v>
      </c>
      <c r="AH46" s="65">
        <f>100/'2008 Totals'!AH46*'2008 Totals'!AH44</f>
        <v>2.3534721774453544</v>
      </c>
    </row>
    <row r="47" spans="2:34" ht="12.75">
      <c r="B47" s="6"/>
      <c r="C47" s="7"/>
      <c r="D47" s="7"/>
      <c r="E47" s="7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48"/>
    </row>
    <row r="48" spans="1:34" ht="12.75">
      <c r="A48" s="5"/>
      <c r="B48" s="9" t="s">
        <v>89</v>
      </c>
      <c r="C48" s="10"/>
      <c r="D48" s="10"/>
      <c r="E48" s="10"/>
      <c r="F48" s="64">
        <f>100/'2008 Totals'!AH46*'2008 Totals'!F46</f>
        <v>20.014185311754463</v>
      </c>
      <c r="G48" s="64">
        <f>100/'2008 Totals'!AH46*'2008 Totals'!G46</f>
        <v>0.025791475917209362</v>
      </c>
      <c r="H48" s="64">
        <f>100/'2008 Totals'!AH46*'2008 Totals'!H46</f>
        <v>0.051582951834418724</v>
      </c>
      <c r="I48" s="64">
        <f>100/'2008 Totals'!AH46*'2008 Totals'!I46</f>
        <v>0.32884131794441934</v>
      </c>
      <c r="J48" s="64">
        <f>100/'2008 Totals'!AH46*'2008 Totals'!J46</f>
        <v>2.72744857824489</v>
      </c>
      <c r="K48" s="64">
        <f>100/'2008 Totals'!AH46*'2008 Totals'!K46</f>
        <v>0.12250951060674446</v>
      </c>
      <c r="L48" s="64">
        <f>100/'2008 Totals'!AH46*'2008 Totals'!L46</f>
        <v>0.10961377264813979</v>
      </c>
      <c r="M48" s="64">
        <f>100/'2008 Totals'!AH46*'2008 Totals'!M46</f>
        <v>20.57514991295377</v>
      </c>
      <c r="N48" s="64">
        <f>100/'2008 Totals'!AH46*'2008 Totals'!N46</f>
        <v>48.687858662711974</v>
      </c>
      <c r="O48" s="64">
        <f>100/'2008 Totals'!AH46*'2008 Totals'!O46</f>
        <v>0.10316590366883745</v>
      </c>
      <c r="P48" s="64">
        <f>100/'2008 Totals'!AH46*'2008 Totals'!P46</f>
        <v>0.12250951060674446</v>
      </c>
      <c r="Q48" s="64">
        <f>100/'2008 Totals'!AH46*'2008 Totals'!Q46</f>
        <v>0.12250951060674446</v>
      </c>
      <c r="R48" s="64">
        <f>100/'2008 Totals'!AH46*'2008 Totals'!R46</f>
        <v>5.880456509123735</v>
      </c>
      <c r="S48" s="64">
        <f>100/'2008 Totals'!AH46*'2008 Totals'!S46</f>
        <v>0.0322393448965117</v>
      </c>
      <c r="T48" s="64">
        <f>100/'2008 Totals'!AH46*'2008 Totals'!T46</f>
        <v>0.04513508285511638</v>
      </c>
      <c r="U48" s="64">
        <f>100/'2008 Totals'!AH46*'2008 Totals'!U46</f>
        <v>0.07737442775162809</v>
      </c>
      <c r="V48" s="64">
        <f>100/'2008 Totals'!AH46*'2008 Totals'!V46</f>
        <v>0.16764459346186086</v>
      </c>
      <c r="W48" s="64">
        <f>100/'2008 Totals'!AH46*'2008 Totals'!W46</f>
        <v>0.0967180346895351</v>
      </c>
      <c r="X48" s="64">
        <f>100/'2008 Totals'!AH46*'2008 Totals'!X46</f>
        <v>0.0064478689793023404</v>
      </c>
      <c r="Y48" s="64">
        <f>100/'2008 Totals'!AH46*'2008 Totals'!Y46</f>
        <v>0</v>
      </c>
      <c r="Z48" s="64">
        <f>100/'2008 Totals'!AH46*'2008 Totals'!Z46</f>
        <v>0.038687213875814044</v>
      </c>
      <c r="AA48" s="64">
        <f>100/'2008 Totals'!AH46*'2008 Totals'!AA46</f>
        <v>0.0064478689793023404</v>
      </c>
      <c r="AB48" s="64">
        <f>100/'2008 Totals'!AH46*'2008 Totals'!AB46</f>
        <v>0.025791475917209362</v>
      </c>
      <c r="AC48" s="64">
        <f>100/'2008 Totals'!AH46*'2008 Totals'!AC46</f>
        <v>0.012895737958604681</v>
      </c>
      <c r="AD48" s="64">
        <f>100/'2008 Totals'!AH46*'2008 Totals'!AD46</f>
        <v>0.0064478689793023404</v>
      </c>
      <c r="AE48" s="64">
        <f>100/'2008 Totals'!AH46*'2008 Totals'!AE46</f>
        <v>0.04513508285511638</v>
      </c>
      <c r="AF48" s="64">
        <f>100/'2008 Totals'!AH46*'2008 Totals'!AF46</f>
        <v>0.025791475917209362</v>
      </c>
      <c r="AG48" s="64">
        <f>100/'2008 Totals'!AH46*'2008 Totals'!AG46</f>
        <v>0.5416209942613966</v>
      </c>
      <c r="AH48" s="59">
        <f>100/'2008 Totals'!AH46*'2008 Totals'!AH46</f>
        <v>100</v>
      </c>
    </row>
    <row r="49" spans="2:34" ht="13.5" thickBot="1"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47"/>
    </row>
    <row r="51" spans="11:24" ht="12.75">
      <c r="K51" s="52" t="s">
        <v>7</v>
      </c>
      <c r="L51" s="52" t="s">
        <v>135</v>
      </c>
      <c r="R51" s="52" t="s">
        <v>115</v>
      </c>
      <c r="S51" s="52" t="s">
        <v>141</v>
      </c>
      <c r="W51" s="52" t="s">
        <v>122</v>
      </c>
      <c r="X51" s="52" t="s">
        <v>148</v>
      </c>
    </row>
    <row r="52" spans="2:24" ht="12.75">
      <c r="B52" t="s">
        <v>157</v>
      </c>
      <c r="C52" s="52" t="s">
        <v>104</v>
      </c>
      <c r="D52" s="52" t="s">
        <v>129</v>
      </c>
      <c r="E52" s="51"/>
      <c r="K52" s="52" t="s">
        <v>109</v>
      </c>
      <c r="L52" s="52" t="s">
        <v>136</v>
      </c>
      <c r="R52" s="52" t="s">
        <v>116</v>
      </c>
      <c r="S52" s="52" t="s">
        <v>142</v>
      </c>
      <c r="W52" s="52" t="s">
        <v>123</v>
      </c>
      <c r="X52" s="52" t="s">
        <v>149</v>
      </c>
    </row>
    <row r="53" spans="3:34" ht="12.75">
      <c r="C53" s="52" t="s">
        <v>23</v>
      </c>
      <c r="D53" s="52" t="s">
        <v>130</v>
      </c>
      <c r="E53" s="51"/>
      <c r="F53" s="50"/>
      <c r="G53" s="50"/>
      <c r="J53" s="43"/>
      <c r="K53" s="52" t="s">
        <v>110</v>
      </c>
      <c r="L53" s="52" t="s">
        <v>137</v>
      </c>
      <c r="M53" s="43"/>
      <c r="N53" s="43"/>
      <c r="O53" s="43"/>
      <c r="P53" s="43"/>
      <c r="Q53" s="43"/>
      <c r="R53" s="52" t="s">
        <v>117</v>
      </c>
      <c r="S53" s="52" t="s">
        <v>143</v>
      </c>
      <c r="T53" s="43"/>
      <c r="U53" s="43"/>
      <c r="V53" s="43"/>
      <c r="W53" s="52" t="s">
        <v>124</v>
      </c>
      <c r="X53" s="52" t="s">
        <v>150</v>
      </c>
      <c r="Y53" s="43"/>
      <c r="Z53" s="43"/>
      <c r="AC53" s="43"/>
      <c r="AD53" s="43"/>
      <c r="AE53" s="43"/>
      <c r="AF53" s="43"/>
      <c r="AG53" s="43"/>
      <c r="AH53" s="42"/>
    </row>
    <row r="54" spans="3:24" ht="12.75">
      <c r="C54" s="52" t="s">
        <v>17</v>
      </c>
      <c r="D54" s="52" t="s">
        <v>131</v>
      </c>
      <c r="E54" s="51"/>
      <c r="F54" s="50"/>
      <c r="G54" s="50"/>
      <c r="K54" s="52" t="s">
        <v>111</v>
      </c>
      <c r="L54" s="52" t="s">
        <v>159</v>
      </c>
      <c r="R54" s="52" t="s">
        <v>118</v>
      </c>
      <c r="S54" s="52" t="s">
        <v>144</v>
      </c>
      <c r="W54" s="52" t="s">
        <v>125</v>
      </c>
      <c r="X54" s="52" t="s">
        <v>151</v>
      </c>
    </row>
    <row r="55" spans="3:24" ht="12.75">
      <c r="C55" s="52" t="s">
        <v>105</v>
      </c>
      <c r="D55" s="52" t="s">
        <v>132</v>
      </c>
      <c r="E55" s="51"/>
      <c r="F55" s="50"/>
      <c r="G55" s="50"/>
      <c r="K55" s="52" t="s">
        <v>112</v>
      </c>
      <c r="L55" s="52" t="s">
        <v>138</v>
      </c>
      <c r="R55" s="52" t="s">
        <v>119</v>
      </c>
      <c r="S55" s="52" t="s">
        <v>145</v>
      </c>
      <c r="W55" s="52" t="s">
        <v>126</v>
      </c>
      <c r="X55" s="52" t="s">
        <v>160</v>
      </c>
    </row>
    <row r="56" spans="3:24" ht="12.75">
      <c r="C56" s="52" t="s">
        <v>106</v>
      </c>
      <c r="D56" s="52" t="s">
        <v>158</v>
      </c>
      <c r="E56" s="51"/>
      <c r="F56" s="50"/>
      <c r="G56" s="50"/>
      <c r="K56" s="52" t="s">
        <v>113</v>
      </c>
      <c r="L56" s="52" t="s">
        <v>139</v>
      </c>
      <c r="R56" s="52" t="s">
        <v>120</v>
      </c>
      <c r="S56" s="52" t="s">
        <v>146</v>
      </c>
      <c r="W56" s="52" t="s">
        <v>127</v>
      </c>
      <c r="X56" s="52" t="s">
        <v>152</v>
      </c>
    </row>
    <row r="57" spans="3:24" ht="12.75">
      <c r="C57" s="52" t="s">
        <v>107</v>
      </c>
      <c r="D57" s="52" t="s">
        <v>133</v>
      </c>
      <c r="E57" s="51"/>
      <c r="F57" s="50"/>
      <c r="G57" s="50"/>
      <c r="K57" s="52" t="s">
        <v>114</v>
      </c>
      <c r="L57" s="52" t="s">
        <v>140</v>
      </c>
      <c r="R57" s="52" t="s">
        <v>121</v>
      </c>
      <c r="S57" s="52" t="s">
        <v>147</v>
      </c>
      <c r="W57" s="52" t="s">
        <v>128</v>
      </c>
      <c r="X57" s="52" t="s">
        <v>153</v>
      </c>
    </row>
    <row r="58" spans="3:7" ht="12.75">
      <c r="C58" s="52" t="s">
        <v>108</v>
      </c>
      <c r="D58" s="52" t="s">
        <v>134</v>
      </c>
      <c r="E58" s="51"/>
      <c r="F58" s="50"/>
      <c r="G58" s="50"/>
    </row>
    <row r="59" spans="3:7" ht="12.75">
      <c r="C59" s="52"/>
      <c r="D59" s="52"/>
      <c r="E59" s="51"/>
      <c r="F59" s="50"/>
      <c r="G59" s="50"/>
    </row>
    <row r="60" spans="3:7" ht="12.75">
      <c r="C60" s="52"/>
      <c r="D60" s="52"/>
      <c r="E60" s="51"/>
      <c r="F60" s="50"/>
      <c r="G60" s="50"/>
    </row>
    <row r="61" spans="3:7" ht="12.75">
      <c r="C61" s="52"/>
      <c r="D61" s="52"/>
      <c r="E61" s="51"/>
      <c r="F61" s="50"/>
      <c r="G61" s="50"/>
    </row>
    <row r="62" spans="3:7" ht="12.75">
      <c r="C62" s="52"/>
      <c r="D62" s="52"/>
      <c r="E62" s="51"/>
      <c r="F62" s="50"/>
      <c r="G62" s="50"/>
    </row>
    <row r="63" spans="3:7" ht="12.75">
      <c r="C63" s="52"/>
      <c r="D63" s="52"/>
      <c r="E63" s="51"/>
      <c r="F63" s="50"/>
      <c r="G63" s="50"/>
    </row>
    <row r="64" spans="3:7" ht="12.75">
      <c r="C64" s="52"/>
      <c r="D64" s="52"/>
      <c r="E64" s="51"/>
      <c r="F64" s="50"/>
      <c r="G64" s="50"/>
    </row>
    <row r="65" spans="3:7" ht="12.75">
      <c r="C65" s="52"/>
      <c r="D65" s="52"/>
      <c r="E65" s="51"/>
      <c r="F65" s="50"/>
      <c r="G65" s="50"/>
    </row>
    <row r="66" spans="5:7" ht="12.75">
      <c r="E66" s="51"/>
      <c r="F66" s="50"/>
      <c r="G66" s="50"/>
    </row>
    <row r="67" spans="5:7" ht="12.75">
      <c r="E67" s="51"/>
      <c r="F67" s="50"/>
      <c r="G67" s="50"/>
    </row>
    <row r="68" spans="5:7" ht="12.75"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5:7" ht="12.75">
      <c r="E78" s="51"/>
      <c r="F78" s="50"/>
      <c r="G78" s="50"/>
    </row>
    <row r="79" spans="5:7" ht="12.75">
      <c r="E79" s="51"/>
      <c r="F79" s="50"/>
      <c r="G79" s="50"/>
    </row>
    <row r="80" spans="3:7" ht="12.75">
      <c r="C80" s="44"/>
      <c r="F80" s="50"/>
      <c r="G80" s="50"/>
    </row>
  </sheetData>
  <sheetProtection/>
  <mergeCells count="3">
    <mergeCell ref="B1:M1"/>
    <mergeCell ref="B3:N3"/>
    <mergeCell ref="B4:D4"/>
  </mergeCells>
  <printOptions/>
  <pageMargins left="0.75" right="0.75" top="1" bottom="1" header="0" footer="0"/>
  <pageSetup fitToHeight="1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4"/>
  <sheetViews>
    <sheetView zoomScalePageLayoutView="0" workbookViewId="0" topLeftCell="C10">
      <selection activeCell="F43" sqref="F43"/>
    </sheetView>
  </sheetViews>
  <sheetFormatPr defaultColWidth="11.421875" defaultRowHeight="12.75"/>
  <cols>
    <col min="1" max="1" width="2.7109375" style="0" customWidth="1"/>
    <col min="2" max="2" width="37.57421875" style="0" customWidth="1"/>
    <col min="3" max="3" width="8.57421875" style="0" customWidth="1"/>
    <col min="4" max="4" width="7.7109375" style="0" customWidth="1"/>
    <col min="5" max="5" width="5.421875" style="0" customWidth="1"/>
    <col min="6" max="6" width="9.8515625" style="0" customWidth="1"/>
    <col min="7" max="7" width="6.28125" style="0" customWidth="1"/>
    <col min="8" max="8" width="5.28125" style="0" customWidth="1"/>
    <col min="9" max="9" width="4.8515625" style="0" customWidth="1"/>
    <col min="10" max="10" width="5.140625" style="0" customWidth="1"/>
    <col min="11" max="11" width="6.28125" style="0" customWidth="1"/>
    <col min="12" max="12" width="5.8515625" style="0" customWidth="1"/>
    <col min="13" max="13" width="7.421875" style="0" customWidth="1"/>
    <col min="14" max="14" width="6.8515625" style="0" customWidth="1"/>
    <col min="15" max="15" width="7.57421875" style="0" customWidth="1"/>
    <col min="16" max="16" width="10.421875" style="0" customWidth="1"/>
    <col min="17" max="17" width="8.28125" style="0" customWidth="1"/>
    <col min="18" max="18" width="6.140625" style="0" customWidth="1"/>
    <col min="19" max="19" width="7.00390625" style="0" customWidth="1"/>
    <col min="20" max="21" width="9.00390625" style="0" customWidth="1"/>
    <col min="22" max="22" width="7.140625" style="0" customWidth="1"/>
    <col min="23" max="23" width="8.28125" style="0" customWidth="1"/>
  </cols>
  <sheetData>
    <row r="1" spans="1:17" ht="18" customHeight="1">
      <c r="A1" s="1"/>
      <c r="B1" s="150" t="s">
        <v>165</v>
      </c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2"/>
      <c r="O1" s="2"/>
      <c r="P1" s="2"/>
      <c r="Q1" s="2"/>
    </row>
    <row r="2" spans="1:17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148"/>
      <c r="M3" s="148"/>
      <c r="N3" s="148"/>
      <c r="O3" s="2"/>
      <c r="P3" s="2"/>
      <c r="Q3" s="2"/>
    </row>
    <row r="4" spans="1:17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23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67" t="s">
        <v>172</v>
      </c>
      <c r="G6" s="67" t="s">
        <v>173</v>
      </c>
      <c r="H6" s="67" t="s">
        <v>104</v>
      </c>
      <c r="I6" s="67" t="s">
        <v>174</v>
      </c>
      <c r="J6" s="67" t="s">
        <v>175</v>
      </c>
      <c r="K6" s="67" t="s">
        <v>110</v>
      </c>
      <c r="L6" s="67" t="s">
        <v>106</v>
      </c>
      <c r="M6" s="67" t="s">
        <v>176</v>
      </c>
      <c r="N6" s="67" t="s">
        <v>118</v>
      </c>
      <c r="O6" s="67" t="s">
        <v>7</v>
      </c>
      <c r="P6" s="67" t="s">
        <v>181</v>
      </c>
      <c r="Q6" s="67" t="s">
        <v>177</v>
      </c>
      <c r="R6" s="67" t="s">
        <v>178</v>
      </c>
      <c r="S6" s="67" t="s">
        <v>179</v>
      </c>
      <c r="T6" s="67" t="s">
        <v>180</v>
      </c>
      <c r="U6" s="69" t="s">
        <v>27</v>
      </c>
      <c r="V6" s="70" t="s">
        <v>25</v>
      </c>
      <c r="W6" s="56" t="s">
        <v>155</v>
      </c>
    </row>
    <row r="7" spans="1:23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7"/>
      <c r="S7" s="7"/>
      <c r="T7" s="7"/>
      <c r="U7" s="7"/>
      <c r="V7" s="7"/>
      <c r="W7" s="46"/>
    </row>
    <row r="8" spans="2:23" ht="12.75">
      <c r="B8" s="73" t="s">
        <v>166</v>
      </c>
      <c r="C8" s="121">
        <v>1</v>
      </c>
      <c r="D8" s="121">
        <v>1</v>
      </c>
      <c r="E8" s="122" t="s">
        <v>41</v>
      </c>
      <c r="F8" s="79">
        <v>125</v>
      </c>
      <c r="G8" s="79">
        <v>41</v>
      </c>
      <c r="H8" s="79">
        <v>242</v>
      </c>
      <c r="I8" s="79">
        <v>4</v>
      </c>
      <c r="J8" s="79">
        <v>12</v>
      </c>
      <c r="K8" s="79">
        <v>0</v>
      </c>
      <c r="L8" s="79">
        <v>31</v>
      </c>
      <c r="M8" s="79">
        <v>0</v>
      </c>
      <c r="N8" s="79">
        <v>2</v>
      </c>
      <c r="O8" s="79">
        <v>139</v>
      </c>
      <c r="P8" s="79">
        <v>2</v>
      </c>
      <c r="Q8" s="79">
        <v>4</v>
      </c>
      <c r="R8" s="79">
        <v>0</v>
      </c>
      <c r="S8" s="79">
        <v>0</v>
      </c>
      <c r="T8" s="79">
        <v>0</v>
      </c>
      <c r="U8" s="79">
        <v>15</v>
      </c>
      <c r="V8" s="79">
        <v>8</v>
      </c>
      <c r="W8" s="59">
        <f>SUM(F8:V8)</f>
        <v>625</v>
      </c>
    </row>
    <row r="9" spans="2:23" ht="12.75">
      <c r="B9" s="73" t="s">
        <v>167</v>
      </c>
      <c r="C9" s="121">
        <v>1</v>
      </c>
      <c r="D9" s="121">
        <v>2</v>
      </c>
      <c r="E9" s="122" t="s">
        <v>41</v>
      </c>
      <c r="F9" s="79">
        <v>130</v>
      </c>
      <c r="G9" s="79">
        <v>49</v>
      </c>
      <c r="H9" s="79">
        <v>202</v>
      </c>
      <c r="I9" s="79">
        <v>11</v>
      </c>
      <c r="J9" s="79">
        <v>26</v>
      </c>
      <c r="K9" s="79">
        <v>2</v>
      </c>
      <c r="L9" s="79">
        <v>36</v>
      </c>
      <c r="M9" s="79">
        <v>6</v>
      </c>
      <c r="N9" s="79">
        <v>1</v>
      </c>
      <c r="O9" s="79">
        <v>88</v>
      </c>
      <c r="P9" s="79">
        <v>2</v>
      </c>
      <c r="Q9" s="79">
        <v>1</v>
      </c>
      <c r="R9" s="79">
        <v>0</v>
      </c>
      <c r="S9" s="79">
        <v>1</v>
      </c>
      <c r="T9" s="79">
        <v>1</v>
      </c>
      <c r="U9" s="80">
        <v>14</v>
      </c>
      <c r="V9" s="80">
        <v>8</v>
      </c>
      <c r="W9" s="59">
        <f aca="true" t="shared" si="0" ref="W9:W41">SUM(F9:V9)</f>
        <v>578</v>
      </c>
    </row>
    <row r="10" spans="2:23" ht="12.75">
      <c r="B10" s="73" t="s">
        <v>166</v>
      </c>
      <c r="C10" s="122">
        <v>1</v>
      </c>
      <c r="D10" s="122">
        <v>3</v>
      </c>
      <c r="E10" s="122" t="s">
        <v>39</v>
      </c>
      <c r="F10" s="79">
        <v>114</v>
      </c>
      <c r="G10" s="79">
        <v>13</v>
      </c>
      <c r="H10" s="79">
        <v>87</v>
      </c>
      <c r="I10" s="79">
        <v>6</v>
      </c>
      <c r="J10" s="79">
        <v>5</v>
      </c>
      <c r="K10" s="79">
        <v>4</v>
      </c>
      <c r="L10" s="79">
        <v>28</v>
      </c>
      <c r="M10" s="79">
        <v>0</v>
      </c>
      <c r="N10" s="79">
        <v>3</v>
      </c>
      <c r="O10" s="79">
        <v>93</v>
      </c>
      <c r="P10" s="79">
        <v>1</v>
      </c>
      <c r="Q10" s="79">
        <v>4</v>
      </c>
      <c r="R10" s="79">
        <v>0</v>
      </c>
      <c r="S10" s="79">
        <v>0</v>
      </c>
      <c r="T10" s="79">
        <v>0</v>
      </c>
      <c r="U10" s="80">
        <v>5</v>
      </c>
      <c r="V10" s="80">
        <v>5</v>
      </c>
      <c r="W10" s="59">
        <f t="shared" si="0"/>
        <v>368</v>
      </c>
    </row>
    <row r="11" spans="2:23" ht="12.75">
      <c r="B11" s="73" t="s">
        <v>166</v>
      </c>
      <c r="C11" s="122">
        <v>1</v>
      </c>
      <c r="D11" s="122">
        <v>3</v>
      </c>
      <c r="E11" s="122" t="s">
        <v>40</v>
      </c>
      <c r="F11" s="79">
        <v>125</v>
      </c>
      <c r="G11" s="79">
        <v>21</v>
      </c>
      <c r="H11" s="79">
        <v>79</v>
      </c>
      <c r="I11" s="79">
        <v>5</v>
      </c>
      <c r="J11" s="79">
        <v>18</v>
      </c>
      <c r="K11" s="79">
        <v>0</v>
      </c>
      <c r="L11" s="79">
        <v>18</v>
      </c>
      <c r="M11" s="79">
        <v>3</v>
      </c>
      <c r="N11" s="79">
        <v>5</v>
      </c>
      <c r="O11" s="79">
        <v>105</v>
      </c>
      <c r="P11" s="79">
        <v>2</v>
      </c>
      <c r="Q11" s="79">
        <v>6</v>
      </c>
      <c r="R11" s="79">
        <v>0</v>
      </c>
      <c r="S11" s="79">
        <v>0</v>
      </c>
      <c r="T11" s="79">
        <v>3</v>
      </c>
      <c r="U11" s="79">
        <v>9</v>
      </c>
      <c r="V11" s="80">
        <v>5</v>
      </c>
      <c r="W11" s="59">
        <f t="shared" si="0"/>
        <v>404</v>
      </c>
    </row>
    <row r="12" spans="2:23" ht="12.75">
      <c r="B12" s="73" t="s">
        <v>94</v>
      </c>
      <c r="C12" s="121">
        <v>2</v>
      </c>
      <c r="D12" s="121">
        <v>1</v>
      </c>
      <c r="E12" s="122" t="s">
        <v>41</v>
      </c>
      <c r="F12" s="79">
        <v>127</v>
      </c>
      <c r="G12" s="79">
        <v>31</v>
      </c>
      <c r="H12" s="79">
        <v>162</v>
      </c>
      <c r="I12" s="79">
        <v>8</v>
      </c>
      <c r="J12" s="79">
        <v>12</v>
      </c>
      <c r="K12" s="79">
        <v>0</v>
      </c>
      <c r="L12" s="79">
        <v>21</v>
      </c>
      <c r="M12" s="79">
        <v>0</v>
      </c>
      <c r="N12" s="79">
        <v>4</v>
      </c>
      <c r="O12" s="79">
        <v>84</v>
      </c>
      <c r="P12" s="79">
        <v>1</v>
      </c>
      <c r="Q12" s="79">
        <v>0</v>
      </c>
      <c r="R12" s="79">
        <v>3</v>
      </c>
      <c r="S12" s="79">
        <v>2</v>
      </c>
      <c r="T12" s="79">
        <v>1</v>
      </c>
      <c r="U12" s="79">
        <v>8</v>
      </c>
      <c r="V12" s="80">
        <v>8</v>
      </c>
      <c r="W12" s="59">
        <f t="shared" si="0"/>
        <v>472</v>
      </c>
    </row>
    <row r="13" spans="2:23" ht="12.75">
      <c r="B13" s="73" t="s">
        <v>94</v>
      </c>
      <c r="C13" s="121">
        <v>2</v>
      </c>
      <c r="D13" s="121">
        <v>2</v>
      </c>
      <c r="E13" s="122" t="s">
        <v>39</v>
      </c>
      <c r="F13" s="79">
        <v>96</v>
      </c>
      <c r="G13" s="79">
        <v>12</v>
      </c>
      <c r="H13" s="79">
        <v>99</v>
      </c>
      <c r="I13" s="79">
        <v>0</v>
      </c>
      <c r="J13" s="79">
        <v>16</v>
      </c>
      <c r="K13" s="79">
        <v>1</v>
      </c>
      <c r="L13" s="79">
        <v>16</v>
      </c>
      <c r="M13" s="79">
        <v>0</v>
      </c>
      <c r="N13" s="79">
        <v>1</v>
      </c>
      <c r="O13" s="79">
        <v>82</v>
      </c>
      <c r="P13" s="79">
        <v>1</v>
      </c>
      <c r="Q13" s="79">
        <v>2</v>
      </c>
      <c r="R13" s="79">
        <v>0</v>
      </c>
      <c r="S13" s="79">
        <v>0</v>
      </c>
      <c r="T13" s="79">
        <v>0</v>
      </c>
      <c r="U13" s="80">
        <v>2</v>
      </c>
      <c r="V13" s="80">
        <v>7</v>
      </c>
      <c r="W13" s="59">
        <f t="shared" si="0"/>
        <v>335</v>
      </c>
    </row>
    <row r="14" spans="2:23" ht="12.75">
      <c r="B14" s="73" t="s">
        <v>94</v>
      </c>
      <c r="C14" s="121">
        <v>2</v>
      </c>
      <c r="D14" s="121">
        <v>2</v>
      </c>
      <c r="E14" s="122" t="s">
        <v>40</v>
      </c>
      <c r="F14" s="79">
        <v>113</v>
      </c>
      <c r="G14" s="79">
        <v>32</v>
      </c>
      <c r="H14" s="79">
        <v>127</v>
      </c>
      <c r="I14" s="79">
        <v>4</v>
      </c>
      <c r="J14" s="79">
        <v>20</v>
      </c>
      <c r="K14" s="79">
        <v>0</v>
      </c>
      <c r="L14" s="79">
        <v>23</v>
      </c>
      <c r="M14" s="79">
        <v>2</v>
      </c>
      <c r="N14" s="79">
        <v>5</v>
      </c>
      <c r="O14" s="79">
        <v>83</v>
      </c>
      <c r="P14" s="79">
        <v>0</v>
      </c>
      <c r="Q14" s="79">
        <v>3</v>
      </c>
      <c r="R14" s="79">
        <v>1</v>
      </c>
      <c r="S14" s="79">
        <v>1</v>
      </c>
      <c r="T14" s="79">
        <v>1</v>
      </c>
      <c r="U14" s="80">
        <v>8</v>
      </c>
      <c r="V14" s="80">
        <v>8</v>
      </c>
      <c r="W14" s="59">
        <f t="shared" si="0"/>
        <v>431</v>
      </c>
    </row>
    <row r="15" spans="2:23" ht="12.75">
      <c r="B15" s="73" t="s">
        <v>166</v>
      </c>
      <c r="C15" s="121">
        <v>2</v>
      </c>
      <c r="D15" s="121">
        <v>3</v>
      </c>
      <c r="E15" s="122" t="s">
        <v>39</v>
      </c>
      <c r="F15" s="79">
        <v>118</v>
      </c>
      <c r="G15" s="79">
        <v>17</v>
      </c>
      <c r="H15" s="79">
        <v>95</v>
      </c>
      <c r="I15" s="79">
        <v>5</v>
      </c>
      <c r="J15" s="79">
        <v>16</v>
      </c>
      <c r="K15" s="79">
        <v>0</v>
      </c>
      <c r="L15" s="79">
        <v>35</v>
      </c>
      <c r="M15" s="79">
        <v>0</v>
      </c>
      <c r="N15" s="79">
        <v>3</v>
      </c>
      <c r="O15" s="79">
        <v>150</v>
      </c>
      <c r="P15" s="79">
        <v>3</v>
      </c>
      <c r="Q15" s="79">
        <v>5</v>
      </c>
      <c r="R15" s="79">
        <v>0</v>
      </c>
      <c r="S15" s="79">
        <v>0</v>
      </c>
      <c r="T15" s="79">
        <v>0</v>
      </c>
      <c r="U15" s="80">
        <v>6</v>
      </c>
      <c r="V15" s="80">
        <v>4</v>
      </c>
      <c r="W15" s="59">
        <f t="shared" si="0"/>
        <v>457</v>
      </c>
    </row>
    <row r="16" spans="2:23" ht="12.75">
      <c r="B16" s="73" t="s">
        <v>166</v>
      </c>
      <c r="C16" s="121">
        <v>2</v>
      </c>
      <c r="D16" s="121">
        <v>3</v>
      </c>
      <c r="E16" s="122" t="s">
        <v>40</v>
      </c>
      <c r="F16" s="79">
        <v>180</v>
      </c>
      <c r="G16" s="79">
        <v>21</v>
      </c>
      <c r="H16" s="79">
        <v>102</v>
      </c>
      <c r="I16" s="79">
        <v>4</v>
      </c>
      <c r="J16" s="79">
        <v>17</v>
      </c>
      <c r="K16" s="79">
        <v>4</v>
      </c>
      <c r="L16" s="79">
        <v>19</v>
      </c>
      <c r="M16" s="79">
        <v>6</v>
      </c>
      <c r="N16" s="79">
        <v>5</v>
      </c>
      <c r="O16" s="79">
        <v>146</v>
      </c>
      <c r="P16" s="79">
        <v>2</v>
      </c>
      <c r="Q16" s="79">
        <v>4</v>
      </c>
      <c r="R16" s="79">
        <v>0</v>
      </c>
      <c r="S16" s="79">
        <v>0</v>
      </c>
      <c r="T16" s="79">
        <v>1</v>
      </c>
      <c r="U16" s="80">
        <v>6</v>
      </c>
      <c r="V16" s="80">
        <v>18</v>
      </c>
      <c r="W16" s="59">
        <f t="shared" si="0"/>
        <v>535</v>
      </c>
    </row>
    <row r="17" spans="2:23" ht="12.75">
      <c r="B17" s="73" t="s">
        <v>168</v>
      </c>
      <c r="C17" s="121">
        <v>2</v>
      </c>
      <c r="D17" s="121">
        <v>4</v>
      </c>
      <c r="E17" s="122" t="s">
        <v>39</v>
      </c>
      <c r="F17" s="79">
        <v>110</v>
      </c>
      <c r="G17" s="79">
        <v>11</v>
      </c>
      <c r="H17" s="79">
        <v>85</v>
      </c>
      <c r="I17" s="79">
        <v>6</v>
      </c>
      <c r="J17" s="79">
        <v>9</v>
      </c>
      <c r="K17" s="79">
        <v>2</v>
      </c>
      <c r="L17" s="79">
        <v>19</v>
      </c>
      <c r="M17" s="79">
        <v>3</v>
      </c>
      <c r="N17" s="79">
        <v>3</v>
      </c>
      <c r="O17" s="79">
        <v>111</v>
      </c>
      <c r="P17" s="79">
        <v>0</v>
      </c>
      <c r="Q17" s="79">
        <v>3</v>
      </c>
      <c r="R17" s="79">
        <v>0</v>
      </c>
      <c r="S17" s="79">
        <v>0</v>
      </c>
      <c r="T17" s="79">
        <v>5</v>
      </c>
      <c r="U17" s="80">
        <v>9</v>
      </c>
      <c r="V17" s="80">
        <v>6</v>
      </c>
      <c r="W17" s="59">
        <f t="shared" si="0"/>
        <v>382</v>
      </c>
    </row>
    <row r="18" spans="2:23" ht="12.75">
      <c r="B18" s="73" t="s">
        <v>168</v>
      </c>
      <c r="C18" s="121">
        <v>2</v>
      </c>
      <c r="D18" s="121">
        <v>4</v>
      </c>
      <c r="E18" s="122" t="s">
        <v>40</v>
      </c>
      <c r="F18" s="79">
        <v>118</v>
      </c>
      <c r="G18" s="79">
        <v>18</v>
      </c>
      <c r="H18" s="79">
        <v>117</v>
      </c>
      <c r="I18" s="79">
        <v>5</v>
      </c>
      <c r="J18" s="79">
        <v>15</v>
      </c>
      <c r="K18" s="79">
        <v>2</v>
      </c>
      <c r="L18" s="79">
        <v>20</v>
      </c>
      <c r="M18" s="79">
        <v>3</v>
      </c>
      <c r="N18" s="79">
        <v>3</v>
      </c>
      <c r="O18" s="79">
        <v>130</v>
      </c>
      <c r="P18" s="79">
        <v>0</v>
      </c>
      <c r="Q18" s="79">
        <v>3</v>
      </c>
      <c r="R18" s="79">
        <v>0</v>
      </c>
      <c r="S18" s="79">
        <v>0</v>
      </c>
      <c r="T18" s="79">
        <v>0</v>
      </c>
      <c r="U18" s="79">
        <v>11</v>
      </c>
      <c r="V18" s="79">
        <v>5</v>
      </c>
      <c r="W18" s="59">
        <f t="shared" si="0"/>
        <v>450</v>
      </c>
    </row>
    <row r="19" spans="2:23" ht="12.75">
      <c r="B19" s="73" t="s">
        <v>168</v>
      </c>
      <c r="C19" s="121">
        <v>2</v>
      </c>
      <c r="D19" s="121">
        <v>5</v>
      </c>
      <c r="E19" s="122" t="s">
        <v>39</v>
      </c>
      <c r="F19" s="79">
        <v>176</v>
      </c>
      <c r="G19" s="79">
        <v>21</v>
      </c>
      <c r="H19" s="79">
        <v>85</v>
      </c>
      <c r="I19" s="79">
        <v>1</v>
      </c>
      <c r="J19" s="79">
        <v>17</v>
      </c>
      <c r="K19" s="79">
        <v>0</v>
      </c>
      <c r="L19" s="79">
        <v>25</v>
      </c>
      <c r="M19" s="79">
        <v>2</v>
      </c>
      <c r="N19" s="79">
        <v>5</v>
      </c>
      <c r="O19" s="79">
        <v>199</v>
      </c>
      <c r="P19" s="79">
        <v>1</v>
      </c>
      <c r="Q19" s="79">
        <v>2</v>
      </c>
      <c r="R19" s="79">
        <v>0</v>
      </c>
      <c r="S19" s="79">
        <v>0</v>
      </c>
      <c r="T19" s="79">
        <v>2</v>
      </c>
      <c r="U19" s="80">
        <v>5</v>
      </c>
      <c r="V19" s="80">
        <v>6</v>
      </c>
      <c r="W19" s="59">
        <f t="shared" si="0"/>
        <v>547</v>
      </c>
    </row>
    <row r="20" spans="2:23" ht="12.75">
      <c r="B20" s="73" t="s">
        <v>168</v>
      </c>
      <c r="C20" s="121">
        <v>2</v>
      </c>
      <c r="D20" s="121">
        <v>5</v>
      </c>
      <c r="E20" s="122" t="s">
        <v>40</v>
      </c>
      <c r="F20" s="79">
        <v>201</v>
      </c>
      <c r="G20" s="79">
        <v>26</v>
      </c>
      <c r="H20" s="79">
        <v>110</v>
      </c>
      <c r="I20" s="79">
        <v>4</v>
      </c>
      <c r="J20" s="79">
        <v>18</v>
      </c>
      <c r="K20" s="79">
        <v>1</v>
      </c>
      <c r="L20" s="79">
        <v>45</v>
      </c>
      <c r="M20" s="79">
        <v>1</v>
      </c>
      <c r="N20" s="79">
        <v>5</v>
      </c>
      <c r="O20" s="79">
        <v>211</v>
      </c>
      <c r="P20" s="79">
        <v>1</v>
      </c>
      <c r="Q20" s="79">
        <v>7</v>
      </c>
      <c r="R20" s="79">
        <v>0</v>
      </c>
      <c r="S20" s="79">
        <v>2</v>
      </c>
      <c r="T20" s="79">
        <v>1</v>
      </c>
      <c r="U20" s="80">
        <v>8</v>
      </c>
      <c r="V20" s="80">
        <v>10</v>
      </c>
      <c r="W20" s="59">
        <f t="shared" si="0"/>
        <v>651</v>
      </c>
    </row>
    <row r="21" spans="2:23" ht="12.75">
      <c r="B21" s="73" t="s">
        <v>97</v>
      </c>
      <c r="C21" s="121">
        <v>3</v>
      </c>
      <c r="D21" s="121">
        <v>1</v>
      </c>
      <c r="E21" s="121" t="s">
        <v>39</v>
      </c>
      <c r="F21" s="79">
        <v>94</v>
      </c>
      <c r="G21" s="79">
        <v>22</v>
      </c>
      <c r="H21" s="79">
        <v>91</v>
      </c>
      <c r="I21" s="79">
        <v>4</v>
      </c>
      <c r="J21" s="79">
        <v>11</v>
      </c>
      <c r="K21" s="79">
        <v>0</v>
      </c>
      <c r="L21" s="79">
        <v>23</v>
      </c>
      <c r="M21" s="79">
        <v>0</v>
      </c>
      <c r="N21" s="79">
        <v>0</v>
      </c>
      <c r="O21" s="79">
        <v>79</v>
      </c>
      <c r="P21" s="79">
        <v>0</v>
      </c>
      <c r="Q21" s="79">
        <v>1</v>
      </c>
      <c r="R21" s="79">
        <v>0</v>
      </c>
      <c r="S21" s="79">
        <v>0</v>
      </c>
      <c r="T21" s="79">
        <v>0</v>
      </c>
      <c r="U21" s="80">
        <v>4</v>
      </c>
      <c r="V21" s="80">
        <v>5</v>
      </c>
      <c r="W21" s="59">
        <f t="shared" si="0"/>
        <v>334</v>
      </c>
    </row>
    <row r="22" spans="2:23" ht="12.75">
      <c r="B22" s="73" t="s">
        <v>97</v>
      </c>
      <c r="C22" s="121">
        <v>3</v>
      </c>
      <c r="D22" s="121">
        <v>1</v>
      </c>
      <c r="E22" s="121" t="s">
        <v>40</v>
      </c>
      <c r="F22" s="79">
        <v>146</v>
      </c>
      <c r="G22" s="79">
        <v>18</v>
      </c>
      <c r="H22" s="79">
        <v>117</v>
      </c>
      <c r="I22" s="79">
        <v>5</v>
      </c>
      <c r="J22" s="79">
        <v>2</v>
      </c>
      <c r="K22" s="79">
        <v>1</v>
      </c>
      <c r="L22" s="79">
        <v>29</v>
      </c>
      <c r="M22" s="79">
        <v>1</v>
      </c>
      <c r="N22" s="79">
        <v>5</v>
      </c>
      <c r="O22" s="79">
        <v>92</v>
      </c>
      <c r="P22" s="79">
        <v>0</v>
      </c>
      <c r="Q22" s="79">
        <v>6</v>
      </c>
      <c r="R22" s="79">
        <v>0</v>
      </c>
      <c r="S22" s="79">
        <v>0</v>
      </c>
      <c r="T22" s="79">
        <v>0</v>
      </c>
      <c r="U22" s="79">
        <v>5</v>
      </c>
      <c r="V22" s="79">
        <v>12</v>
      </c>
      <c r="W22" s="59">
        <f t="shared" si="0"/>
        <v>439</v>
      </c>
    </row>
    <row r="23" spans="2:23" ht="12.75">
      <c r="B23" s="73" t="s">
        <v>98</v>
      </c>
      <c r="C23" s="121">
        <v>3</v>
      </c>
      <c r="D23" s="121">
        <v>2</v>
      </c>
      <c r="E23" s="122" t="s">
        <v>39</v>
      </c>
      <c r="F23" s="79">
        <v>135</v>
      </c>
      <c r="G23" s="79">
        <v>19</v>
      </c>
      <c r="H23" s="79">
        <v>83</v>
      </c>
      <c r="I23" s="79">
        <v>3</v>
      </c>
      <c r="J23" s="79">
        <v>21</v>
      </c>
      <c r="K23" s="79">
        <v>0</v>
      </c>
      <c r="L23" s="79">
        <v>19</v>
      </c>
      <c r="M23" s="79">
        <v>3</v>
      </c>
      <c r="N23" s="79">
        <v>2</v>
      </c>
      <c r="O23" s="79">
        <v>99</v>
      </c>
      <c r="P23" s="79">
        <v>1</v>
      </c>
      <c r="Q23" s="79">
        <v>6</v>
      </c>
      <c r="R23" s="79">
        <v>1</v>
      </c>
      <c r="S23" s="79">
        <v>1</v>
      </c>
      <c r="T23" s="79">
        <v>2</v>
      </c>
      <c r="U23" s="79">
        <v>8</v>
      </c>
      <c r="V23" s="79">
        <v>11</v>
      </c>
      <c r="W23" s="59">
        <f t="shared" si="0"/>
        <v>414</v>
      </c>
    </row>
    <row r="24" spans="2:23" ht="12.75">
      <c r="B24" s="73" t="s">
        <v>98</v>
      </c>
      <c r="C24" s="121">
        <v>3</v>
      </c>
      <c r="D24" s="121">
        <v>2</v>
      </c>
      <c r="E24" s="122" t="s">
        <v>40</v>
      </c>
      <c r="F24" s="79">
        <v>133</v>
      </c>
      <c r="G24" s="79">
        <v>26</v>
      </c>
      <c r="H24" s="79">
        <v>96</v>
      </c>
      <c r="I24" s="79">
        <v>3</v>
      </c>
      <c r="J24" s="79">
        <v>14</v>
      </c>
      <c r="K24" s="79">
        <v>0</v>
      </c>
      <c r="L24" s="79">
        <v>26</v>
      </c>
      <c r="M24" s="79">
        <v>3</v>
      </c>
      <c r="N24" s="79">
        <v>3</v>
      </c>
      <c r="O24" s="79">
        <v>117</v>
      </c>
      <c r="P24" s="79">
        <v>0</v>
      </c>
      <c r="Q24" s="79">
        <v>1</v>
      </c>
      <c r="R24" s="79">
        <v>0</v>
      </c>
      <c r="S24" s="79">
        <v>1</v>
      </c>
      <c r="T24" s="79">
        <v>2</v>
      </c>
      <c r="U24" s="79">
        <v>14</v>
      </c>
      <c r="V24" s="79">
        <v>13</v>
      </c>
      <c r="W24" s="59">
        <f t="shared" si="0"/>
        <v>452</v>
      </c>
    </row>
    <row r="25" spans="2:23" ht="12.75">
      <c r="B25" s="73" t="s">
        <v>169</v>
      </c>
      <c r="C25" s="121">
        <v>3</v>
      </c>
      <c r="D25" s="121">
        <v>3</v>
      </c>
      <c r="E25" s="122" t="s">
        <v>39</v>
      </c>
      <c r="F25" s="79">
        <v>102</v>
      </c>
      <c r="G25" s="79">
        <v>19</v>
      </c>
      <c r="H25" s="79">
        <v>75</v>
      </c>
      <c r="I25" s="79">
        <v>6</v>
      </c>
      <c r="J25" s="79">
        <v>9</v>
      </c>
      <c r="K25" s="79">
        <v>1</v>
      </c>
      <c r="L25" s="79">
        <v>38</v>
      </c>
      <c r="M25" s="79">
        <v>1</v>
      </c>
      <c r="N25" s="79">
        <v>7</v>
      </c>
      <c r="O25" s="79">
        <v>121</v>
      </c>
      <c r="P25" s="79">
        <v>0</v>
      </c>
      <c r="Q25" s="79">
        <v>0</v>
      </c>
      <c r="R25" s="79">
        <v>0</v>
      </c>
      <c r="S25" s="79">
        <v>0</v>
      </c>
      <c r="T25" s="79">
        <v>0</v>
      </c>
      <c r="U25" s="79">
        <v>5</v>
      </c>
      <c r="V25" s="79">
        <v>1</v>
      </c>
      <c r="W25" s="59">
        <f t="shared" si="0"/>
        <v>385</v>
      </c>
    </row>
    <row r="26" spans="2:23" ht="12.75">
      <c r="B26" s="73" t="s">
        <v>169</v>
      </c>
      <c r="C26" s="121">
        <v>3</v>
      </c>
      <c r="D26" s="121">
        <v>3</v>
      </c>
      <c r="E26" s="122" t="s">
        <v>40</v>
      </c>
      <c r="F26" s="79">
        <v>96</v>
      </c>
      <c r="G26" s="79">
        <v>11</v>
      </c>
      <c r="H26" s="79">
        <v>71</v>
      </c>
      <c r="I26" s="79">
        <v>1</v>
      </c>
      <c r="J26" s="79">
        <v>3</v>
      </c>
      <c r="K26" s="79">
        <v>1</v>
      </c>
      <c r="L26" s="79">
        <v>33</v>
      </c>
      <c r="M26" s="79">
        <v>3</v>
      </c>
      <c r="N26" s="79">
        <v>5</v>
      </c>
      <c r="O26" s="79">
        <v>136</v>
      </c>
      <c r="P26" s="79">
        <v>0</v>
      </c>
      <c r="Q26" s="79">
        <v>3</v>
      </c>
      <c r="R26" s="79">
        <v>0</v>
      </c>
      <c r="S26" s="79">
        <v>1</v>
      </c>
      <c r="T26" s="79">
        <v>0</v>
      </c>
      <c r="U26" s="79">
        <v>5</v>
      </c>
      <c r="V26" s="79">
        <v>6</v>
      </c>
      <c r="W26" s="59">
        <f t="shared" si="0"/>
        <v>375</v>
      </c>
    </row>
    <row r="27" spans="2:23" ht="12.75">
      <c r="B27" s="73" t="s">
        <v>169</v>
      </c>
      <c r="C27" s="121">
        <v>3</v>
      </c>
      <c r="D27" s="121">
        <v>3</v>
      </c>
      <c r="E27" s="122" t="s">
        <v>92</v>
      </c>
      <c r="F27" s="79">
        <v>126</v>
      </c>
      <c r="G27" s="79">
        <v>18</v>
      </c>
      <c r="H27" s="79">
        <v>115</v>
      </c>
      <c r="I27" s="79">
        <v>5</v>
      </c>
      <c r="J27" s="79">
        <v>6</v>
      </c>
      <c r="K27" s="79">
        <v>0</v>
      </c>
      <c r="L27" s="79">
        <v>30</v>
      </c>
      <c r="M27" s="79">
        <v>1</v>
      </c>
      <c r="N27" s="79">
        <v>13</v>
      </c>
      <c r="O27" s="79">
        <v>124</v>
      </c>
      <c r="P27" s="79">
        <v>2</v>
      </c>
      <c r="Q27" s="79">
        <v>6</v>
      </c>
      <c r="R27" s="79">
        <v>0</v>
      </c>
      <c r="S27" s="79">
        <v>0</v>
      </c>
      <c r="T27" s="79">
        <v>1</v>
      </c>
      <c r="U27" s="79">
        <v>7</v>
      </c>
      <c r="V27" s="79">
        <v>9</v>
      </c>
      <c r="W27" s="59">
        <f t="shared" si="0"/>
        <v>463</v>
      </c>
    </row>
    <row r="28" spans="2:23" ht="12.75">
      <c r="B28" s="73" t="s">
        <v>100</v>
      </c>
      <c r="C28" s="121">
        <v>3</v>
      </c>
      <c r="D28" s="121">
        <v>4</v>
      </c>
      <c r="E28" s="122" t="s">
        <v>39</v>
      </c>
      <c r="F28" s="79">
        <v>113</v>
      </c>
      <c r="G28" s="79">
        <v>16</v>
      </c>
      <c r="H28" s="79">
        <v>109</v>
      </c>
      <c r="I28" s="79">
        <v>2</v>
      </c>
      <c r="J28" s="79">
        <v>12</v>
      </c>
      <c r="K28" s="79">
        <v>2</v>
      </c>
      <c r="L28" s="79">
        <v>18</v>
      </c>
      <c r="M28" s="79">
        <v>2</v>
      </c>
      <c r="N28" s="79">
        <v>2</v>
      </c>
      <c r="O28" s="79">
        <v>100</v>
      </c>
      <c r="P28" s="79">
        <v>2</v>
      </c>
      <c r="Q28" s="79">
        <v>5</v>
      </c>
      <c r="R28" s="79">
        <v>0</v>
      </c>
      <c r="S28" s="79">
        <v>0</v>
      </c>
      <c r="T28" s="79">
        <v>3</v>
      </c>
      <c r="U28" s="79">
        <v>12</v>
      </c>
      <c r="V28" s="79">
        <v>7</v>
      </c>
      <c r="W28" s="59">
        <f t="shared" si="0"/>
        <v>405</v>
      </c>
    </row>
    <row r="29" spans="2:23" ht="12.75">
      <c r="B29" s="73" t="s">
        <v>100</v>
      </c>
      <c r="C29" s="121">
        <v>3</v>
      </c>
      <c r="D29" s="121">
        <v>4</v>
      </c>
      <c r="E29" s="122" t="s">
        <v>40</v>
      </c>
      <c r="F29" s="79">
        <v>142</v>
      </c>
      <c r="G29" s="79">
        <v>14</v>
      </c>
      <c r="H29" s="79">
        <v>108</v>
      </c>
      <c r="I29" s="79">
        <v>2</v>
      </c>
      <c r="J29" s="79">
        <v>20</v>
      </c>
      <c r="K29" s="79">
        <v>2</v>
      </c>
      <c r="L29" s="79">
        <v>25</v>
      </c>
      <c r="M29" s="79">
        <v>1</v>
      </c>
      <c r="N29" s="79">
        <v>7</v>
      </c>
      <c r="O29" s="79">
        <v>114</v>
      </c>
      <c r="P29" s="79">
        <v>3</v>
      </c>
      <c r="Q29" s="79">
        <v>5</v>
      </c>
      <c r="R29" s="79">
        <v>1</v>
      </c>
      <c r="S29" s="79">
        <v>0</v>
      </c>
      <c r="T29" s="79">
        <v>0</v>
      </c>
      <c r="U29" s="79">
        <v>10</v>
      </c>
      <c r="V29" s="79">
        <v>7</v>
      </c>
      <c r="W29" s="59">
        <f t="shared" si="0"/>
        <v>461</v>
      </c>
    </row>
    <row r="30" spans="2:23" ht="12.75">
      <c r="B30" s="73" t="s">
        <v>100</v>
      </c>
      <c r="C30" s="121">
        <v>3</v>
      </c>
      <c r="D30" s="121">
        <v>4</v>
      </c>
      <c r="E30" s="122" t="s">
        <v>92</v>
      </c>
      <c r="F30" s="79">
        <v>174</v>
      </c>
      <c r="G30" s="79">
        <v>16</v>
      </c>
      <c r="H30" s="79">
        <v>120</v>
      </c>
      <c r="I30" s="79">
        <v>6</v>
      </c>
      <c r="J30" s="79">
        <v>12</v>
      </c>
      <c r="K30" s="79">
        <v>2</v>
      </c>
      <c r="L30" s="79">
        <v>19</v>
      </c>
      <c r="M30" s="79">
        <v>4</v>
      </c>
      <c r="N30" s="79">
        <v>8</v>
      </c>
      <c r="O30" s="79">
        <v>128</v>
      </c>
      <c r="P30" s="79">
        <v>1</v>
      </c>
      <c r="Q30" s="79">
        <v>5</v>
      </c>
      <c r="R30" s="79">
        <v>1</v>
      </c>
      <c r="S30" s="79">
        <v>0</v>
      </c>
      <c r="T30" s="79">
        <v>0</v>
      </c>
      <c r="U30" s="80">
        <v>5</v>
      </c>
      <c r="V30" s="80">
        <v>6</v>
      </c>
      <c r="W30" s="59">
        <f t="shared" si="0"/>
        <v>507</v>
      </c>
    </row>
    <row r="31" spans="2:23" ht="12.75">
      <c r="B31" s="73" t="s">
        <v>97</v>
      </c>
      <c r="C31" s="121">
        <v>3</v>
      </c>
      <c r="D31" s="121">
        <v>5</v>
      </c>
      <c r="E31" s="122" t="s">
        <v>41</v>
      </c>
      <c r="F31" s="79">
        <v>199</v>
      </c>
      <c r="G31" s="79">
        <v>37</v>
      </c>
      <c r="H31" s="79">
        <v>142</v>
      </c>
      <c r="I31" s="79">
        <v>7</v>
      </c>
      <c r="J31" s="79">
        <v>13</v>
      </c>
      <c r="K31" s="79">
        <v>0</v>
      </c>
      <c r="L31" s="79">
        <v>35</v>
      </c>
      <c r="M31" s="79">
        <v>3</v>
      </c>
      <c r="N31" s="79">
        <v>4</v>
      </c>
      <c r="O31" s="79">
        <v>125</v>
      </c>
      <c r="P31" s="79">
        <v>0</v>
      </c>
      <c r="Q31" s="79">
        <v>2</v>
      </c>
      <c r="R31" s="79">
        <v>1</v>
      </c>
      <c r="S31" s="79">
        <v>0</v>
      </c>
      <c r="T31" s="79">
        <v>2</v>
      </c>
      <c r="U31" s="79">
        <v>11</v>
      </c>
      <c r="V31" s="79">
        <v>12</v>
      </c>
      <c r="W31" s="59">
        <f t="shared" si="0"/>
        <v>593</v>
      </c>
    </row>
    <row r="32" spans="2:23" ht="12.75">
      <c r="B32" s="73" t="s">
        <v>98</v>
      </c>
      <c r="C32" s="121">
        <v>3</v>
      </c>
      <c r="D32" s="121">
        <v>6</v>
      </c>
      <c r="E32" s="122" t="s">
        <v>39</v>
      </c>
      <c r="F32" s="79">
        <v>113</v>
      </c>
      <c r="G32" s="79">
        <v>32</v>
      </c>
      <c r="H32" s="79">
        <v>145</v>
      </c>
      <c r="I32" s="79">
        <v>2</v>
      </c>
      <c r="J32" s="79">
        <v>7</v>
      </c>
      <c r="K32" s="79">
        <v>1</v>
      </c>
      <c r="L32" s="79">
        <v>20</v>
      </c>
      <c r="M32" s="79">
        <v>3</v>
      </c>
      <c r="N32" s="79">
        <v>1</v>
      </c>
      <c r="O32" s="79">
        <v>90</v>
      </c>
      <c r="P32" s="79">
        <v>2</v>
      </c>
      <c r="Q32" s="79">
        <v>3</v>
      </c>
      <c r="R32" s="79">
        <v>0</v>
      </c>
      <c r="S32" s="79">
        <v>1</v>
      </c>
      <c r="T32" s="79">
        <v>0</v>
      </c>
      <c r="U32" s="79">
        <v>9</v>
      </c>
      <c r="V32" s="79">
        <v>8</v>
      </c>
      <c r="W32" s="59">
        <f t="shared" si="0"/>
        <v>437</v>
      </c>
    </row>
    <row r="33" spans="2:23" ht="12.75">
      <c r="B33" s="73" t="s">
        <v>98</v>
      </c>
      <c r="C33" s="121">
        <v>3</v>
      </c>
      <c r="D33" s="121">
        <v>6</v>
      </c>
      <c r="E33" s="122" t="s">
        <v>40</v>
      </c>
      <c r="F33" s="79">
        <v>132</v>
      </c>
      <c r="G33" s="79">
        <v>43</v>
      </c>
      <c r="H33" s="79">
        <v>137</v>
      </c>
      <c r="I33" s="79">
        <v>1</v>
      </c>
      <c r="J33" s="79">
        <v>14</v>
      </c>
      <c r="K33" s="79">
        <v>1</v>
      </c>
      <c r="L33" s="79">
        <v>30</v>
      </c>
      <c r="M33" s="79">
        <v>2</v>
      </c>
      <c r="N33" s="79">
        <v>5</v>
      </c>
      <c r="O33" s="79">
        <v>89</v>
      </c>
      <c r="P33" s="79">
        <v>1</v>
      </c>
      <c r="Q33" s="79">
        <v>5</v>
      </c>
      <c r="R33" s="79">
        <v>0</v>
      </c>
      <c r="S33" s="79">
        <v>1</v>
      </c>
      <c r="T33" s="79">
        <v>1</v>
      </c>
      <c r="U33" s="79">
        <v>9</v>
      </c>
      <c r="V33" s="79">
        <v>7</v>
      </c>
      <c r="W33" s="59">
        <f t="shared" si="0"/>
        <v>478</v>
      </c>
    </row>
    <row r="34" spans="2:23" ht="12.75">
      <c r="B34" s="73" t="s">
        <v>170</v>
      </c>
      <c r="C34" s="121">
        <v>3</v>
      </c>
      <c r="D34" s="121">
        <v>7</v>
      </c>
      <c r="E34" s="122" t="s">
        <v>39</v>
      </c>
      <c r="F34" s="79">
        <v>89</v>
      </c>
      <c r="G34" s="79">
        <v>18</v>
      </c>
      <c r="H34" s="79">
        <v>99</v>
      </c>
      <c r="I34" s="79">
        <v>4</v>
      </c>
      <c r="J34" s="79">
        <v>11</v>
      </c>
      <c r="K34" s="79">
        <v>0</v>
      </c>
      <c r="L34" s="79">
        <v>25</v>
      </c>
      <c r="M34" s="79">
        <v>4</v>
      </c>
      <c r="N34" s="79">
        <v>7</v>
      </c>
      <c r="O34" s="79">
        <v>121</v>
      </c>
      <c r="P34" s="79">
        <v>1</v>
      </c>
      <c r="Q34" s="79">
        <v>3</v>
      </c>
      <c r="R34" s="79">
        <v>0</v>
      </c>
      <c r="S34" s="79">
        <v>0</v>
      </c>
      <c r="T34" s="79">
        <v>2</v>
      </c>
      <c r="U34" s="79">
        <v>0</v>
      </c>
      <c r="V34" s="79">
        <v>7</v>
      </c>
      <c r="W34" s="59">
        <f t="shared" si="0"/>
        <v>391</v>
      </c>
    </row>
    <row r="35" spans="2:23" ht="12.75">
      <c r="B35" s="73" t="s">
        <v>170</v>
      </c>
      <c r="C35" s="121">
        <v>3</v>
      </c>
      <c r="D35" s="121">
        <v>7</v>
      </c>
      <c r="E35" s="122" t="s">
        <v>40</v>
      </c>
      <c r="F35" s="79">
        <v>131</v>
      </c>
      <c r="G35" s="79">
        <v>21</v>
      </c>
      <c r="H35" s="79">
        <v>99</v>
      </c>
      <c r="I35" s="79">
        <v>3</v>
      </c>
      <c r="J35" s="79">
        <v>13</v>
      </c>
      <c r="K35" s="79">
        <v>2</v>
      </c>
      <c r="L35" s="79">
        <v>33</v>
      </c>
      <c r="M35" s="79">
        <v>1</v>
      </c>
      <c r="N35" s="79">
        <v>2</v>
      </c>
      <c r="O35" s="79">
        <v>128</v>
      </c>
      <c r="P35" s="79">
        <v>1</v>
      </c>
      <c r="Q35" s="79">
        <v>3</v>
      </c>
      <c r="R35" s="79">
        <v>1</v>
      </c>
      <c r="S35" s="79">
        <v>0</v>
      </c>
      <c r="T35" s="79">
        <v>2</v>
      </c>
      <c r="U35" s="79">
        <v>5</v>
      </c>
      <c r="V35" s="79">
        <v>6</v>
      </c>
      <c r="W35" s="59">
        <f t="shared" si="0"/>
        <v>451</v>
      </c>
    </row>
    <row r="36" spans="2:23" ht="12.75">
      <c r="B36" s="73" t="s">
        <v>170</v>
      </c>
      <c r="C36" s="121">
        <v>3</v>
      </c>
      <c r="D36" s="121">
        <v>7</v>
      </c>
      <c r="E36" s="122" t="s">
        <v>92</v>
      </c>
      <c r="F36" s="79">
        <v>131</v>
      </c>
      <c r="G36" s="79">
        <v>12</v>
      </c>
      <c r="H36" s="79">
        <v>114</v>
      </c>
      <c r="I36" s="79">
        <v>4</v>
      </c>
      <c r="J36" s="79">
        <v>11</v>
      </c>
      <c r="K36" s="79">
        <v>1</v>
      </c>
      <c r="L36" s="79">
        <v>25</v>
      </c>
      <c r="M36" s="79">
        <v>1</v>
      </c>
      <c r="N36" s="79">
        <v>7</v>
      </c>
      <c r="O36" s="79">
        <v>143</v>
      </c>
      <c r="P36" s="79">
        <v>1</v>
      </c>
      <c r="Q36" s="79">
        <v>4</v>
      </c>
      <c r="R36" s="79">
        <v>0</v>
      </c>
      <c r="S36" s="79">
        <v>0</v>
      </c>
      <c r="T36" s="80">
        <v>0</v>
      </c>
      <c r="U36" s="80">
        <v>7</v>
      </c>
      <c r="V36" s="80">
        <v>4</v>
      </c>
      <c r="W36" s="59">
        <f t="shared" si="0"/>
        <v>465</v>
      </c>
    </row>
    <row r="37" spans="2:23" ht="12.75">
      <c r="B37" s="73" t="s">
        <v>102</v>
      </c>
      <c r="C37" s="121">
        <v>3</v>
      </c>
      <c r="D37" s="121">
        <v>8</v>
      </c>
      <c r="E37" s="122" t="s">
        <v>39</v>
      </c>
      <c r="F37" s="79">
        <v>118</v>
      </c>
      <c r="G37" s="79">
        <v>17</v>
      </c>
      <c r="H37" s="79">
        <v>87</v>
      </c>
      <c r="I37" s="79">
        <v>1</v>
      </c>
      <c r="J37" s="79">
        <v>18</v>
      </c>
      <c r="K37" s="79">
        <v>0</v>
      </c>
      <c r="L37" s="79">
        <v>34</v>
      </c>
      <c r="M37" s="79">
        <v>2</v>
      </c>
      <c r="N37" s="79">
        <v>2</v>
      </c>
      <c r="O37" s="79">
        <v>155</v>
      </c>
      <c r="P37" s="79">
        <v>1</v>
      </c>
      <c r="Q37" s="79">
        <v>3</v>
      </c>
      <c r="R37" s="79">
        <v>0</v>
      </c>
      <c r="S37" s="79">
        <v>0</v>
      </c>
      <c r="T37" s="79">
        <v>0</v>
      </c>
      <c r="U37" s="79">
        <v>14</v>
      </c>
      <c r="V37" s="79">
        <v>9</v>
      </c>
      <c r="W37" s="59">
        <f t="shared" si="0"/>
        <v>461</v>
      </c>
    </row>
    <row r="38" spans="2:23" ht="12.75">
      <c r="B38" s="73" t="s">
        <v>102</v>
      </c>
      <c r="C38" s="121">
        <v>3</v>
      </c>
      <c r="D38" s="121">
        <v>8</v>
      </c>
      <c r="E38" s="122" t="s">
        <v>40</v>
      </c>
      <c r="F38" s="79">
        <v>184</v>
      </c>
      <c r="G38" s="79">
        <v>23</v>
      </c>
      <c r="H38" s="79">
        <v>86</v>
      </c>
      <c r="I38" s="79">
        <v>3</v>
      </c>
      <c r="J38" s="79">
        <v>25</v>
      </c>
      <c r="K38" s="79">
        <v>0</v>
      </c>
      <c r="L38" s="79">
        <v>36</v>
      </c>
      <c r="M38" s="79">
        <v>2</v>
      </c>
      <c r="N38" s="79">
        <v>12</v>
      </c>
      <c r="O38" s="79">
        <v>186</v>
      </c>
      <c r="P38" s="79">
        <v>1</v>
      </c>
      <c r="Q38" s="79">
        <v>6</v>
      </c>
      <c r="R38" s="79">
        <v>1</v>
      </c>
      <c r="S38" s="79">
        <v>1</v>
      </c>
      <c r="T38" s="79">
        <v>2</v>
      </c>
      <c r="U38" s="79">
        <v>9</v>
      </c>
      <c r="V38" s="79">
        <v>2</v>
      </c>
      <c r="W38" s="59">
        <f t="shared" si="0"/>
        <v>579</v>
      </c>
    </row>
    <row r="39" spans="2:23" ht="12.75">
      <c r="B39" s="73" t="s">
        <v>103</v>
      </c>
      <c r="C39" s="121">
        <v>3</v>
      </c>
      <c r="D39" s="121">
        <v>9</v>
      </c>
      <c r="E39" s="122" t="s">
        <v>39</v>
      </c>
      <c r="F39" s="79">
        <v>90</v>
      </c>
      <c r="G39" s="79">
        <v>16</v>
      </c>
      <c r="H39" s="79">
        <v>98</v>
      </c>
      <c r="I39" s="79">
        <v>2</v>
      </c>
      <c r="J39" s="79">
        <v>14</v>
      </c>
      <c r="K39" s="79">
        <v>0</v>
      </c>
      <c r="L39" s="79">
        <v>16</v>
      </c>
      <c r="M39" s="79">
        <v>3</v>
      </c>
      <c r="N39" s="79">
        <v>5</v>
      </c>
      <c r="O39" s="79">
        <v>84</v>
      </c>
      <c r="P39" s="79">
        <v>3</v>
      </c>
      <c r="Q39" s="79">
        <v>4</v>
      </c>
      <c r="R39" s="79">
        <v>0</v>
      </c>
      <c r="S39" s="79">
        <v>1</v>
      </c>
      <c r="T39" s="79">
        <v>2</v>
      </c>
      <c r="U39" s="79">
        <v>1</v>
      </c>
      <c r="V39" s="79">
        <v>2</v>
      </c>
      <c r="W39" s="59">
        <f t="shared" si="0"/>
        <v>341</v>
      </c>
    </row>
    <row r="40" spans="2:23" ht="12.75">
      <c r="B40" s="73" t="s">
        <v>103</v>
      </c>
      <c r="C40" s="121">
        <v>3</v>
      </c>
      <c r="D40" s="121">
        <v>9</v>
      </c>
      <c r="E40" s="122" t="s">
        <v>40</v>
      </c>
      <c r="F40" s="79">
        <v>90</v>
      </c>
      <c r="G40" s="79">
        <v>29</v>
      </c>
      <c r="H40" s="79">
        <v>110</v>
      </c>
      <c r="I40" s="79">
        <v>1</v>
      </c>
      <c r="J40" s="79">
        <v>9</v>
      </c>
      <c r="K40" s="79">
        <v>1</v>
      </c>
      <c r="L40" s="79">
        <v>16</v>
      </c>
      <c r="M40" s="79">
        <v>2</v>
      </c>
      <c r="N40" s="79">
        <v>1</v>
      </c>
      <c r="O40" s="79">
        <v>106</v>
      </c>
      <c r="P40" s="79">
        <v>1</v>
      </c>
      <c r="Q40" s="79">
        <v>5</v>
      </c>
      <c r="R40" s="79">
        <v>0</v>
      </c>
      <c r="S40" s="79">
        <v>1</v>
      </c>
      <c r="T40" s="79">
        <v>2</v>
      </c>
      <c r="U40" s="79">
        <v>3</v>
      </c>
      <c r="V40" s="79">
        <v>5</v>
      </c>
      <c r="W40" s="59">
        <f t="shared" si="0"/>
        <v>382</v>
      </c>
    </row>
    <row r="41" spans="2:23" ht="12.75">
      <c r="B41" s="73" t="s">
        <v>102</v>
      </c>
      <c r="C41" s="122">
        <v>3</v>
      </c>
      <c r="D41" s="122">
        <v>10</v>
      </c>
      <c r="E41" s="122" t="s">
        <v>41</v>
      </c>
      <c r="F41" s="79">
        <v>135</v>
      </c>
      <c r="G41" s="79">
        <v>10</v>
      </c>
      <c r="H41" s="79">
        <v>120</v>
      </c>
      <c r="I41" s="79">
        <v>3</v>
      </c>
      <c r="J41" s="79">
        <v>3</v>
      </c>
      <c r="K41" s="79">
        <v>0</v>
      </c>
      <c r="L41" s="79">
        <v>23</v>
      </c>
      <c r="M41" s="79">
        <v>1</v>
      </c>
      <c r="N41" s="79">
        <v>4</v>
      </c>
      <c r="O41" s="79">
        <v>120</v>
      </c>
      <c r="P41" s="79">
        <v>0</v>
      </c>
      <c r="Q41" s="79">
        <v>0</v>
      </c>
      <c r="R41" s="79">
        <v>0</v>
      </c>
      <c r="S41" s="79">
        <v>0</v>
      </c>
      <c r="T41" s="79">
        <v>4</v>
      </c>
      <c r="U41" s="80">
        <v>9</v>
      </c>
      <c r="V41" s="80">
        <v>2</v>
      </c>
      <c r="W41" s="59">
        <f t="shared" si="0"/>
        <v>434</v>
      </c>
    </row>
    <row r="42" spans="2:23" ht="12.75">
      <c r="B42" s="6"/>
      <c r="C42" s="7"/>
      <c r="D42" s="7"/>
      <c r="E42" s="7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48"/>
    </row>
    <row r="43" spans="1:24" ht="12.75">
      <c r="A43" s="5"/>
      <c r="B43" s="9" t="s">
        <v>89</v>
      </c>
      <c r="C43" s="10"/>
      <c r="D43" s="10"/>
      <c r="E43" s="10"/>
      <c r="F43" s="81">
        <f>SUM(F8:F41)</f>
        <v>4406</v>
      </c>
      <c r="G43" s="81">
        <f aca="true" t="shared" si="1" ref="G43:V43">SUM(G8:G41)</f>
        <v>750</v>
      </c>
      <c r="H43" s="81">
        <f t="shared" si="1"/>
        <v>3814</v>
      </c>
      <c r="I43" s="81">
        <f t="shared" si="1"/>
        <v>131</v>
      </c>
      <c r="J43" s="81">
        <f t="shared" si="1"/>
        <v>449</v>
      </c>
      <c r="K43" s="81">
        <f t="shared" si="1"/>
        <v>31</v>
      </c>
      <c r="L43" s="81">
        <f t="shared" si="1"/>
        <v>889</v>
      </c>
      <c r="M43" s="81">
        <f t="shared" si="1"/>
        <v>69</v>
      </c>
      <c r="N43" s="81">
        <f t="shared" si="1"/>
        <v>147</v>
      </c>
      <c r="O43" s="81">
        <f t="shared" si="1"/>
        <v>4078</v>
      </c>
      <c r="P43" s="81">
        <f t="shared" si="1"/>
        <v>37</v>
      </c>
      <c r="Q43" s="81">
        <f t="shared" si="1"/>
        <v>120</v>
      </c>
      <c r="R43" s="81">
        <f t="shared" si="1"/>
        <v>10</v>
      </c>
      <c r="S43" s="81">
        <f t="shared" si="1"/>
        <v>14</v>
      </c>
      <c r="T43" s="81">
        <f t="shared" si="1"/>
        <v>40</v>
      </c>
      <c r="U43" s="81">
        <f t="shared" si="1"/>
        <v>258</v>
      </c>
      <c r="V43" s="81">
        <f t="shared" si="1"/>
        <v>239</v>
      </c>
      <c r="W43" s="59">
        <f>SUM(W8:W41)</f>
        <v>15482</v>
      </c>
      <c r="X43" s="71"/>
    </row>
    <row r="44" spans="2:23" ht="13.5" thickBot="1"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47"/>
    </row>
    <row r="46" spans="2:19" ht="12.75">
      <c r="B46" t="s">
        <v>157</v>
      </c>
      <c r="C46" s="52" t="s">
        <v>172</v>
      </c>
      <c r="D46" s="52"/>
      <c r="E46" s="52" t="s">
        <v>136</v>
      </c>
      <c r="F46" s="68"/>
      <c r="K46" s="52"/>
      <c r="L46" s="52"/>
      <c r="M46" s="52" t="s">
        <v>118</v>
      </c>
      <c r="N46" s="52"/>
      <c r="P46" s="52" t="s">
        <v>186</v>
      </c>
      <c r="R46" s="52"/>
      <c r="S46" s="52"/>
    </row>
    <row r="47" spans="3:23" ht="12.75">
      <c r="C47" s="52" t="s">
        <v>173</v>
      </c>
      <c r="D47" s="52"/>
      <c r="E47" s="52" t="s">
        <v>171</v>
      </c>
      <c r="F47" s="52"/>
      <c r="G47" s="50"/>
      <c r="J47" s="43"/>
      <c r="K47" s="52"/>
      <c r="L47" s="52"/>
      <c r="M47" s="52" t="s">
        <v>7</v>
      </c>
      <c r="N47" s="52"/>
      <c r="P47" s="52" t="s">
        <v>187</v>
      </c>
      <c r="Q47" s="43"/>
      <c r="R47" s="52"/>
      <c r="S47" s="52"/>
      <c r="T47" s="43"/>
      <c r="U47" s="43"/>
      <c r="V47" s="43"/>
      <c r="W47" s="42"/>
    </row>
    <row r="48" spans="3:19" ht="12.75">
      <c r="C48" s="52" t="s">
        <v>104</v>
      </c>
      <c r="D48" s="52"/>
      <c r="E48" s="52" t="s">
        <v>129</v>
      </c>
      <c r="F48" s="52"/>
      <c r="G48" s="50"/>
      <c r="K48" s="52"/>
      <c r="L48" s="52"/>
      <c r="M48" s="52" t="s">
        <v>181</v>
      </c>
      <c r="N48" s="52"/>
      <c r="P48" s="52" t="s">
        <v>181</v>
      </c>
      <c r="R48" s="52"/>
      <c r="S48" s="52"/>
    </row>
    <row r="49" spans="3:19" ht="12.75">
      <c r="C49" s="52" t="s">
        <v>174</v>
      </c>
      <c r="D49" s="52"/>
      <c r="E49" s="52" t="s">
        <v>182</v>
      </c>
      <c r="F49" s="52"/>
      <c r="G49" s="50"/>
      <c r="K49" s="52"/>
      <c r="L49" s="52"/>
      <c r="M49" s="52" t="s">
        <v>177</v>
      </c>
      <c r="N49" s="52"/>
      <c r="P49" s="52" t="s">
        <v>188</v>
      </c>
      <c r="R49" s="52"/>
      <c r="S49" s="52"/>
    </row>
    <row r="50" spans="3:19" ht="12.75">
      <c r="C50" s="52" t="s">
        <v>175</v>
      </c>
      <c r="D50" s="52"/>
      <c r="E50" s="52" t="s">
        <v>183</v>
      </c>
      <c r="F50" s="52"/>
      <c r="G50" s="50"/>
      <c r="K50" s="52"/>
      <c r="L50" s="52"/>
      <c r="M50" s="52" t="s">
        <v>178</v>
      </c>
      <c r="N50" s="52"/>
      <c r="P50" s="52" t="s">
        <v>189</v>
      </c>
      <c r="R50" s="52"/>
      <c r="S50" s="52"/>
    </row>
    <row r="51" spans="3:19" ht="12.75">
      <c r="C51" s="52" t="s">
        <v>110</v>
      </c>
      <c r="D51" s="52"/>
      <c r="E51" s="52" t="s">
        <v>184</v>
      </c>
      <c r="F51" s="52"/>
      <c r="G51" s="50"/>
      <c r="K51" s="52"/>
      <c r="L51" s="52"/>
      <c r="M51" s="52" t="s">
        <v>179</v>
      </c>
      <c r="N51" s="52"/>
      <c r="P51" s="52" t="s">
        <v>190</v>
      </c>
      <c r="R51" s="52"/>
      <c r="S51" s="52"/>
    </row>
    <row r="52" spans="3:16" ht="12.75">
      <c r="C52" s="52" t="s">
        <v>106</v>
      </c>
      <c r="D52" s="52"/>
      <c r="E52" s="52" t="s">
        <v>158</v>
      </c>
      <c r="F52" s="52"/>
      <c r="G52" s="50"/>
      <c r="M52" s="52" t="s">
        <v>180</v>
      </c>
      <c r="N52" s="68"/>
      <c r="P52" s="52" t="s">
        <v>180</v>
      </c>
    </row>
    <row r="53" spans="3:7" ht="12.75">
      <c r="C53" s="52" t="s">
        <v>176</v>
      </c>
      <c r="D53" s="52"/>
      <c r="E53" s="52" t="s">
        <v>185</v>
      </c>
      <c r="F53" s="52"/>
      <c r="G53" s="50"/>
    </row>
    <row r="54" spans="6:7" ht="12.75">
      <c r="F54" s="52"/>
      <c r="G54" s="50"/>
    </row>
    <row r="55" spans="6:7" ht="12.75">
      <c r="F55" s="52"/>
      <c r="G55" s="50"/>
    </row>
    <row r="56" spans="6:7" ht="12.75">
      <c r="F56" s="52"/>
      <c r="G56" s="50"/>
    </row>
    <row r="57" spans="6:7" ht="12.75">
      <c r="F57" s="52"/>
      <c r="G57" s="50"/>
    </row>
    <row r="58" spans="6:7" ht="12.75">
      <c r="F58" s="52"/>
      <c r="G58" s="50"/>
    </row>
    <row r="59" spans="6:7" ht="12.75">
      <c r="F59" s="52"/>
      <c r="G59" s="50"/>
    </row>
    <row r="60" spans="6:7" ht="12.75">
      <c r="F60" s="52"/>
      <c r="G60" s="50"/>
    </row>
    <row r="61" spans="3:7" ht="12.75">
      <c r="C61" s="66"/>
      <c r="E61" s="51"/>
      <c r="F61" s="50"/>
      <c r="G61" s="50"/>
    </row>
    <row r="62" spans="3:7" ht="12.75">
      <c r="C62" s="66"/>
      <c r="E62" s="51"/>
      <c r="F62" s="50"/>
      <c r="G62" s="50"/>
    </row>
    <row r="63" spans="3:7" ht="12.75">
      <c r="C63" s="66"/>
      <c r="E63" s="51"/>
      <c r="F63" s="50"/>
      <c r="G63" s="50"/>
    </row>
    <row r="64" spans="3:7" ht="12.75">
      <c r="C64" s="66"/>
      <c r="E64" s="51"/>
      <c r="F64" s="50"/>
      <c r="G64" s="50"/>
    </row>
    <row r="65" spans="3:7" ht="12.75">
      <c r="C65" s="66"/>
      <c r="E65" s="51"/>
      <c r="F65" s="50"/>
      <c r="G65" s="50"/>
    </row>
    <row r="66" spans="3:7" ht="12.75">
      <c r="C66" s="66"/>
      <c r="E66" s="51"/>
      <c r="F66" s="50"/>
      <c r="G66" s="50"/>
    </row>
    <row r="67" spans="3:7" ht="12.75">
      <c r="C67" s="66"/>
      <c r="E67" s="51"/>
      <c r="F67" s="50"/>
      <c r="G67" s="50"/>
    </row>
    <row r="68" spans="3:7" ht="12.75">
      <c r="C68" s="66"/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3:7" ht="12.75">
      <c r="C74" s="44"/>
      <c r="F74" s="50"/>
      <c r="G74" s="50"/>
    </row>
  </sheetData>
  <sheetProtection/>
  <mergeCells count="3">
    <mergeCell ref="B1:M1"/>
    <mergeCell ref="B3:N3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76"/>
  <sheetViews>
    <sheetView zoomScalePageLayoutView="0" workbookViewId="0" topLeftCell="A1">
      <selection activeCell="W46" sqref="W46"/>
    </sheetView>
  </sheetViews>
  <sheetFormatPr defaultColWidth="11.421875" defaultRowHeight="12.75"/>
  <cols>
    <col min="1" max="1" width="2.7109375" style="0" customWidth="1"/>
    <col min="2" max="2" width="37.421875" style="0" customWidth="1"/>
    <col min="3" max="3" width="8.57421875" style="0" customWidth="1"/>
    <col min="4" max="4" width="7.7109375" style="0" customWidth="1"/>
    <col min="5" max="5" width="5.421875" style="0" customWidth="1"/>
    <col min="6" max="6" width="10.574218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1" width="8.00390625" style="0" customWidth="1"/>
    <col min="12" max="12" width="5.7109375" style="0" customWidth="1"/>
    <col min="13" max="13" width="7.7109375" style="0" customWidth="1"/>
    <col min="14" max="14" width="6.8515625" style="0" customWidth="1"/>
    <col min="15" max="15" width="6.7109375" style="0" customWidth="1"/>
    <col min="16" max="16" width="10.421875" style="0" customWidth="1"/>
    <col min="17" max="17" width="8.28125" style="0" customWidth="1"/>
    <col min="18" max="18" width="5.57421875" style="0" customWidth="1"/>
    <col min="19" max="19" width="6.8515625" style="0" customWidth="1"/>
    <col min="20" max="21" width="9.8515625" style="0" customWidth="1"/>
    <col min="22" max="22" width="8.140625" style="0" customWidth="1"/>
    <col min="23" max="23" width="8.28125" style="0" customWidth="1"/>
  </cols>
  <sheetData>
    <row r="1" spans="1:17" ht="18" customHeight="1">
      <c r="A1" s="1"/>
      <c r="B1" s="150" t="s">
        <v>165</v>
      </c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2"/>
      <c r="O1" s="2"/>
      <c r="P1" s="2"/>
      <c r="Q1" s="2"/>
    </row>
    <row r="2" spans="1:17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148"/>
      <c r="M3" s="148"/>
      <c r="N3" s="148"/>
      <c r="O3" s="2"/>
      <c r="P3" s="2"/>
      <c r="Q3" s="2"/>
    </row>
    <row r="4" spans="1:17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</row>
    <row r="7" ht="13.5" thickBot="1"/>
    <row r="8" spans="1:23" ht="26.25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67" t="s">
        <v>172</v>
      </c>
      <c r="G8" s="67" t="s">
        <v>173</v>
      </c>
      <c r="H8" s="67" t="s">
        <v>104</v>
      </c>
      <c r="I8" s="67" t="s">
        <v>174</v>
      </c>
      <c r="J8" s="67" t="s">
        <v>175</v>
      </c>
      <c r="K8" s="67" t="s">
        <v>110</v>
      </c>
      <c r="L8" s="67" t="s">
        <v>106</v>
      </c>
      <c r="M8" s="67" t="s">
        <v>176</v>
      </c>
      <c r="N8" s="67" t="s">
        <v>118</v>
      </c>
      <c r="O8" s="67" t="s">
        <v>7</v>
      </c>
      <c r="P8" s="67" t="s">
        <v>181</v>
      </c>
      <c r="Q8" s="67" t="s">
        <v>177</v>
      </c>
      <c r="R8" s="67" t="s">
        <v>178</v>
      </c>
      <c r="S8" s="67" t="s">
        <v>179</v>
      </c>
      <c r="T8" s="67" t="s">
        <v>180</v>
      </c>
      <c r="U8" s="69" t="s">
        <v>27</v>
      </c>
      <c r="V8" s="70" t="s">
        <v>25</v>
      </c>
      <c r="W8" s="56" t="s">
        <v>161</v>
      </c>
    </row>
    <row r="9" spans="1:23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49"/>
      <c r="S9" s="7"/>
      <c r="T9" s="7"/>
      <c r="U9" s="7"/>
      <c r="V9" s="7"/>
      <c r="W9" s="46"/>
    </row>
    <row r="10" spans="2:23" ht="12.75">
      <c r="B10" s="73" t="s">
        <v>166</v>
      </c>
      <c r="C10" s="121">
        <v>1</v>
      </c>
      <c r="D10" s="121">
        <v>1</v>
      </c>
      <c r="E10" s="122" t="s">
        <v>41</v>
      </c>
      <c r="F10" s="74">
        <v>20.25931928687196</v>
      </c>
      <c r="G10" s="74">
        <v>6.645056726094004</v>
      </c>
      <c r="H10" s="74">
        <v>39.222042139384115</v>
      </c>
      <c r="I10" s="74">
        <v>0.6482982171799028</v>
      </c>
      <c r="J10" s="74">
        <v>1.9448946515397083</v>
      </c>
      <c r="K10" s="75">
        <v>0</v>
      </c>
      <c r="L10" s="74">
        <v>5.024311183144246</v>
      </c>
      <c r="M10" s="74">
        <v>0</v>
      </c>
      <c r="N10" s="74">
        <v>0.3241491085899514</v>
      </c>
      <c r="O10" s="74">
        <v>22.528363047001623</v>
      </c>
      <c r="P10" s="74">
        <v>0.3241491085899514</v>
      </c>
      <c r="Q10" s="74">
        <v>0.6482982171799028</v>
      </c>
      <c r="R10" s="74">
        <v>0</v>
      </c>
      <c r="S10" s="74">
        <v>0</v>
      </c>
      <c r="T10" s="74">
        <v>0</v>
      </c>
      <c r="U10" s="74">
        <v>2.4311183144246353</v>
      </c>
      <c r="V10" s="74">
        <v>1.28</v>
      </c>
      <c r="W10" s="65">
        <f>100/'2011 Totals'!W43*'2011 Totals'!W8</f>
        <v>4.036946130990828</v>
      </c>
    </row>
    <row r="11" spans="2:23" ht="12.75">
      <c r="B11" s="73" t="s">
        <v>167</v>
      </c>
      <c r="C11" s="121">
        <v>1</v>
      </c>
      <c r="D11" s="121">
        <v>2</v>
      </c>
      <c r="E11" s="122" t="s">
        <v>41</v>
      </c>
      <c r="F11" s="74">
        <v>22.80701754385965</v>
      </c>
      <c r="G11" s="74">
        <v>8.596491228070175</v>
      </c>
      <c r="H11" s="74">
        <v>35.43859649122807</v>
      </c>
      <c r="I11" s="74">
        <v>1.9298245614035088</v>
      </c>
      <c r="J11" s="74">
        <v>4.56140350877193</v>
      </c>
      <c r="K11" s="74">
        <v>0.3508771929824561</v>
      </c>
      <c r="L11" s="74">
        <v>6.315789473684211</v>
      </c>
      <c r="M11" s="74">
        <v>1.0526315789473684</v>
      </c>
      <c r="N11" s="74">
        <v>0.17543859649122806</v>
      </c>
      <c r="O11" s="74">
        <v>15.43859649122807</v>
      </c>
      <c r="P11" s="74">
        <v>0.3508771929824561</v>
      </c>
      <c r="Q11" s="74">
        <v>0.17543859649122806</v>
      </c>
      <c r="R11" s="74">
        <v>0</v>
      </c>
      <c r="S11" s="74">
        <v>0.17543859649122806</v>
      </c>
      <c r="T11" s="74">
        <v>0.17543859649122806</v>
      </c>
      <c r="U11" s="74">
        <v>2.456140350877193</v>
      </c>
      <c r="V11" s="74">
        <v>1.384083044982699</v>
      </c>
      <c r="W11" s="65">
        <f>100/'2011 Totals'!W43*'2011 Totals'!W9</f>
        <v>3.7333677819403177</v>
      </c>
    </row>
    <row r="12" spans="2:23" ht="12.75">
      <c r="B12" s="73" t="s">
        <v>166</v>
      </c>
      <c r="C12" s="122">
        <v>1</v>
      </c>
      <c r="D12" s="122">
        <v>3</v>
      </c>
      <c r="E12" s="122" t="s">
        <v>39</v>
      </c>
      <c r="F12" s="74">
        <v>31.40495867768595</v>
      </c>
      <c r="G12" s="74">
        <v>3.581267217630854</v>
      </c>
      <c r="H12" s="74">
        <v>23.96694214876033</v>
      </c>
      <c r="I12" s="74">
        <v>1.6528925619834711</v>
      </c>
      <c r="J12" s="74">
        <v>1.3774104683195592</v>
      </c>
      <c r="K12" s="74">
        <v>1.1019283746556474</v>
      </c>
      <c r="L12" s="74">
        <v>7.713498622589532</v>
      </c>
      <c r="M12" s="74">
        <v>0</v>
      </c>
      <c r="N12" s="74">
        <v>0.8264462809917356</v>
      </c>
      <c r="O12" s="74">
        <v>25.619834710743802</v>
      </c>
      <c r="P12" s="74">
        <v>0.27548209366391185</v>
      </c>
      <c r="Q12" s="74">
        <v>1.1019283746556474</v>
      </c>
      <c r="R12" s="74">
        <v>0</v>
      </c>
      <c r="S12" s="74">
        <v>0</v>
      </c>
      <c r="T12" s="74">
        <v>0</v>
      </c>
      <c r="U12" s="74">
        <v>1.3774104683195592</v>
      </c>
      <c r="V12" s="76">
        <v>1.38</v>
      </c>
      <c r="W12" s="65">
        <f>100/'2011 Totals'!W43*'2011 Totals'!W10</f>
        <v>2.3769538819273994</v>
      </c>
    </row>
    <row r="13" spans="2:23" ht="12.75">
      <c r="B13" s="73" t="s">
        <v>166</v>
      </c>
      <c r="C13" s="122">
        <v>1</v>
      </c>
      <c r="D13" s="122">
        <v>3</v>
      </c>
      <c r="E13" s="122" t="s">
        <v>40</v>
      </c>
      <c r="F13" s="74">
        <v>31.328320802005013</v>
      </c>
      <c r="G13" s="74">
        <v>5.2631578947368425</v>
      </c>
      <c r="H13" s="74">
        <v>19.79949874686717</v>
      </c>
      <c r="I13" s="74">
        <v>1.2531328320802004</v>
      </c>
      <c r="J13" s="74">
        <v>4.511278195488722</v>
      </c>
      <c r="K13" s="74">
        <v>0</v>
      </c>
      <c r="L13" s="74">
        <v>4.511278195488722</v>
      </c>
      <c r="M13" s="74">
        <v>0.7518796992481203</v>
      </c>
      <c r="N13" s="74">
        <v>1.2531328320802004</v>
      </c>
      <c r="O13" s="74">
        <v>26.31578947368421</v>
      </c>
      <c r="P13" s="74">
        <v>0.5012531328320802</v>
      </c>
      <c r="Q13" s="74">
        <v>1.5037593984962405</v>
      </c>
      <c r="R13" s="74">
        <v>0</v>
      </c>
      <c r="S13" s="74">
        <v>0</v>
      </c>
      <c r="T13" s="74">
        <v>0.7518796992481203</v>
      </c>
      <c r="U13" s="74">
        <v>2.255639097744361</v>
      </c>
      <c r="V13" s="74">
        <v>1.2376237623762376</v>
      </c>
      <c r="W13" s="65">
        <f>100/'2011 Totals'!W43*'2011 Totals'!W11</f>
        <v>2.6094819790724713</v>
      </c>
    </row>
    <row r="14" spans="2:23" ht="12.75">
      <c r="B14" s="73" t="s">
        <v>94</v>
      </c>
      <c r="C14" s="121">
        <v>2</v>
      </c>
      <c r="D14" s="121">
        <v>1</v>
      </c>
      <c r="E14" s="122" t="s">
        <v>41</v>
      </c>
      <c r="F14" s="74">
        <v>27.370689655172413</v>
      </c>
      <c r="G14" s="74">
        <v>6.681034482758621</v>
      </c>
      <c r="H14" s="74">
        <v>34.91379310344828</v>
      </c>
      <c r="I14" s="74">
        <v>1.7241379310344827</v>
      </c>
      <c r="J14" s="74">
        <v>2.5862068965517246</v>
      </c>
      <c r="K14" s="74">
        <v>0</v>
      </c>
      <c r="L14" s="74">
        <v>4.525862068965517</v>
      </c>
      <c r="M14" s="74">
        <v>0</v>
      </c>
      <c r="N14" s="74">
        <v>0.8620689655172413</v>
      </c>
      <c r="O14" s="74">
        <v>18.103448275862068</v>
      </c>
      <c r="P14" s="74">
        <v>0.21551724137931033</v>
      </c>
      <c r="Q14" s="74">
        <v>0</v>
      </c>
      <c r="R14" s="74">
        <v>0.6465517241379312</v>
      </c>
      <c r="S14" s="74">
        <v>0.43103448275862066</v>
      </c>
      <c r="T14" s="74">
        <v>0.21551724137931033</v>
      </c>
      <c r="U14" s="76">
        <v>1.72</v>
      </c>
      <c r="V14" s="76">
        <v>1.72</v>
      </c>
      <c r="W14" s="65">
        <f>100/'2011 Totals'!W43*'2011 Totals'!W12</f>
        <v>3.0487017181242733</v>
      </c>
    </row>
    <row r="15" spans="2:23" ht="12.75">
      <c r="B15" s="73" t="s">
        <v>94</v>
      </c>
      <c r="C15" s="121">
        <v>2</v>
      </c>
      <c r="D15" s="121">
        <v>2</v>
      </c>
      <c r="E15" s="122" t="s">
        <v>39</v>
      </c>
      <c r="F15" s="74">
        <v>29.26829268292683</v>
      </c>
      <c r="G15" s="74">
        <v>3.658536585365854</v>
      </c>
      <c r="H15" s="74">
        <v>30.182926829268297</v>
      </c>
      <c r="I15" s="74">
        <v>0</v>
      </c>
      <c r="J15" s="74">
        <v>4.878048780487805</v>
      </c>
      <c r="K15" s="74">
        <v>0.3048780487804878</v>
      </c>
      <c r="L15" s="74">
        <v>4.878048780487805</v>
      </c>
      <c r="M15" s="74">
        <v>0</v>
      </c>
      <c r="N15" s="74">
        <v>0.3048780487804878</v>
      </c>
      <c r="O15" s="74">
        <v>25</v>
      </c>
      <c r="P15" s="74">
        <v>0.3048780487804878</v>
      </c>
      <c r="Q15" s="74">
        <v>0.6097560975609756</v>
      </c>
      <c r="R15" s="74">
        <v>0</v>
      </c>
      <c r="S15" s="74">
        <v>0</v>
      </c>
      <c r="T15" s="74">
        <v>0</v>
      </c>
      <c r="U15" s="74">
        <v>0.6097560975609756</v>
      </c>
      <c r="V15" s="74">
        <v>2.08955223880597</v>
      </c>
      <c r="W15" s="65">
        <f>100/'2011 Totals'!W43*'2011 Totals'!W13</f>
        <v>2.163803126211084</v>
      </c>
    </row>
    <row r="16" spans="2:23" ht="12.75">
      <c r="B16" s="73" t="s">
        <v>94</v>
      </c>
      <c r="C16" s="121">
        <v>2</v>
      </c>
      <c r="D16" s="121">
        <v>2</v>
      </c>
      <c r="E16" s="122" t="s">
        <v>40</v>
      </c>
      <c r="F16" s="74">
        <v>26.71394799054374</v>
      </c>
      <c r="G16" s="74">
        <v>7.5650118203309695</v>
      </c>
      <c r="H16" s="74">
        <v>30.023640661938536</v>
      </c>
      <c r="I16" s="74">
        <v>0.9456264775413712</v>
      </c>
      <c r="J16" s="74">
        <v>4.7281323877068555</v>
      </c>
      <c r="K16" s="74">
        <v>0</v>
      </c>
      <c r="L16" s="74">
        <v>5.437352245862885</v>
      </c>
      <c r="M16" s="74">
        <v>0.4728132387706856</v>
      </c>
      <c r="N16" s="74">
        <v>1.1820330969267139</v>
      </c>
      <c r="O16" s="74">
        <v>19.62174940898345</v>
      </c>
      <c r="P16" s="74">
        <v>0</v>
      </c>
      <c r="Q16" s="74">
        <v>0.7092198581560284</v>
      </c>
      <c r="R16" s="74">
        <v>0.2364066193853428</v>
      </c>
      <c r="S16" s="74">
        <v>0.2364066193853428</v>
      </c>
      <c r="T16" s="74">
        <v>0.2364066193853428</v>
      </c>
      <c r="U16" s="76">
        <v>1.89</v>
      </c>
      <c r="V16" s="76">
        <v>1.89</v>
      </c>
      <c r="W16" s="65">
        <f>100/'2011 Totals'!W43*'2011 Totals'!W14</f>
        <v>2.783878051931275</v>
      </c>
    </row>
    <row r="17" spans="2:23" ht="12.75">
      <c r="B17" s="73" t="s">
        <v>166</v>
      </c>
      <c r="C17" s="121">
        <v>2</v>
      </c>
      <c r="D17" s="121">
        <v>3</v>
      </c>
      <c r="E17" s="122" t="s">
        <v>39</v>
      </c>
      <c r="F17" s="74">
        <v>26.048565121412803</v>
      </c>
      <c r="G17" s="74">
        <v>3.752759381898455</v>
      </c>
      <c r="H17" s="74">
        <v>20.971302428256074</v>
      </c>
      <c r="I17" s="74">
        <v>1.1037527593818985</v>
      </c>
      <c r="J17" s="74">
        <v>3.532008830022075</v>
      </c>
      <c r="K17" s="74">
        <v>0</v>
      </c>
      <c r="L17" s="74">
        <v>7.72626931567329</v>
      </c>
      <c r="M17" s="74">
        <v>0</v>
      </c>
      <c r="N17" s="74">
        <v>0.6622516556291391</v>
      </c>
      <c r="O17" s="74">
        <v>33.11258278145695</v>
      </c>
      <c r="P17" s="74">
        <v>0.6622516556291391</v>
      </c>
      <c r="Q17" s="74">
        <v>1.1037527593818985</v>
      </c>
      <c r="R17" s="74">
        <v>0</v>
      </c>
      <c r="S17" s="74">
        <v>0</v>
      </c>
      <c r="T17" s="74">
        <v>0</v>
      </c>
      <c r="U17" s="74">
        <v>1.3245033112582782</v>
      </c>
      <c r="V17" s="74">
        <v>0.87527352297593</v>
      </c>
      <c r="W17" s="65">
        <f>100/'2011 Totals'!W43*'2011 Totals'!W15</f>
        <v>2.9518150109804933</v>
      </c>
    </row>
    <row r="18" spans="2:23" ht="12.75">
      <c r="B18" s="73" t="s">
        <v>166</v>
      </c>
      <c r="C18" s="121">
        <v>2</v>
      </c>
      <c r="D18" s="121">
        <v>3</v>
      </c>
      <c r="E18" s="122" t="s">
        <v>40</v>
      </c>
      <c r="F18" s="74">
        <v>34.81624758220503</v>
      </c>
      <c r="G18" s="74">
        <v>4.061895551257253</v>
      </c>
      <c r="H18" s="74">
        <v>19.729206963249517</v>
      </c>
      <c r="I18" s="74">
        <v>0.7736943907156674</v>
      </c>
      <c r="J18" s="74">
        <v>3.288201160541586</v>
      </c>
      <c r="K18" s="74">
        <v>0.7736943907156674</v>
      </c>
      <c r="L18" s="74">
        <v>3.6750483558994196</v>
      </c>
      <c r="M18" s="74">
        <v>1.1605415860735009</v>
      </c>
      <c r="N18" s="74">
        <v>0.9671179883945843</v>
      </c>
      <c r="O18" s="74">
        <v>28.23984526112186</v>
      </c>
      <c r="P18" s="74">
        <v>0.3868471953578337</v>
      </c>
      <c r="Q18" s="74">
        <v>0.7736943907156674</v>
      </c>
      <c r="R18" s="74">
        <v>0</v>
      </c>
      <c r="S18" s="74">
        <v>0</v>
      </c>
      <c r="T18" s="74">
        <v>0.19342359767891684</v>
      </c>
      <c r="U18" s="74">
        <v>1.1605415860735009</v>
      </c>
      <c r="V18" s="74">
        <v>3.364485981308411</v>
      </c>
      <c r="W18" s="65">
        <f>100/'2011 Totals'!W43*'2011 Totals'!W16</f>
        <v>3.4556258881281487</v>
      </c>
    </row>
    <row r="19" spans="2:23" ht="12.75">
      <c r="B19" s="73" t="s">
        <v>168</v>
      </c>
      <c r="C19" s="121">
        <v>2</v>
      </c>
      <c r="D19" s="121">
        <v>4</v>
      </c>
      <c r="E19" s="122" t="s">
        <v>39</v>
      </c>
      <c r="F19" s="74">
        <v>29.25531914893617</v>
      </c>
      <c r="G19" s="74">
        <v>2.925531914893617</v>
      </c>
      <c r="H19" s="74">
        <v>22.606382978723406</v>
      </c>
      <c r="I19" s="74">
        <v>1.595744680851064</v>
      </c>
      <c r="J19" s="74">
        <v>2.393617021276596</v>
      </c>
      <c r="K19" s="74">
        <v>0.5319148936170213</v>
      </c>
      <c r="L19" s="74">
        <v>5.053191489361702</v>
      </c>
      <c r="M19" s="74">
        <v>0.797872340425532</v>
      </c>
      <c r="N19" s="74">
        <v>0.797872340425532</v>
      </c>
      <c r="O19" s="74">
        <v>29.52127659574468</v>
      </c>
      <c r="P19" s="74">
        <v>0</v>
      </c>
      <c r="Q19" s="74">
        <v>0.797872340425532</v>
      </c>
      <c r="R19" s="74">
        <v>0</v>
      </c>
      <c r="S19" s="74">
        <v>0</v>
      </c>
      <c r="T19" s="74">
        <v>1.3297872340425532</v>
      </c>
      <c r="U19" s="74">
        <v>2.393617021276596</v>
      </c>
      <c r="V19" s="74">
        <v>1.5706806282722514</v>
      </c>
      <c r="W19" s="65">
        <f>100/'2011 Totals'!W43*'2011 Totals'!W17</f>
        <v>2.467381475261594</v>
      </c>
    </row>
    <row r="20" spans="2:23" ht="12.75">
      <c r="B20" s="73" t="s">
        <v>168</v>
      </c>
      <c r="C20" s="121">
        <v>2</v>
      </c>
      <c r="D20" s="121">
        <v>4</v>
      </c>
      <c r="E20" s="122" t="s">
        <v>40</v>
      </c>
      <c r="F20" s="74">
        <v>26.51685393258427</v>
      </c>
      <c r="G20" s="74">
        <v>4.044943820224719</v>
      </c>
      <c r="H20" s="74">
        <v>26.292134831460675</v>
      </c>
      <c r="I20" s="74">
        <v>1.1235955056179776</v>
      </c>
      <c r="J20" s="74">
        <v>3.370786516853933</v>
      </c>
      <c r="K20" s="74">
        <v>0.449438202247191</v>
      </c>
      <c r="L20" s="74">
        <v>4.49438202247191</v>
      </c>
      <c r="M20" s="74">
        <v>0.6741573033707866</v>
      </c>
      <c r="N20" s="74">
        <v>0.6741573033707866</v>
      </c>
      <c r="O20" s="74">
        <v>29.213483146067414</v>
      </c>
      <c r="P20" s="74">
        <v>0</v>
      </c>
      <c r="Q20" s="74">
        <v>0.6741573033707866</v>
      </c>
      <c r="R20" s="74">
        <v>0</v>
      </c>
      <c r="S20" s="74">
        <v>0</v>
      </c>
      <c r="T20" s="74">
        <v>0</v>
      </c>
      <c r="U20" s="74">
        <v>2.4719101123595504</v>
      </c>
      <c r="V20" s="74">
        <v>1.1111111111111112</v>
      </c>
      <c r="W20" s="65">
        <f>100/'2011 Totals'!W43*'2011 Totals'!W18</f>
        <v>2.906601214313396</v>
      </c>
    </row>
    <row r="21" spans="2:23" ht="12.75">
      <c r="B21" s="73" t="s">
        <v>168</v>
      </c>
      <c r="C21" s="121">
        <v>2</v>
      </c>
      <c r="D21" s="121">
        <v>5</v>
      </c>
      <c r="E21" s="122" t="s">
        <v>39</v>
      </c>
      <c r="F21" s="74">
        <v>32.53234750462107</v>
      </c>
      <c r="G21" s="74">
        <v>3.8817005545286505</v>
      </c>
      <c r="H21" s="74">
        <v>15.711645101663587</v>
      </c>
      <c r="I21" s="74">
        <v>0.18484288354898337</v>
      </c>
      <c r="J21" s="74">
        <v>3.142329020332717</v>
      </c>
      <c r="K21" s="74">
        <v>0</v>
      </c>
      <c r="L21" s="74">
        <v>4.621072088724584</v>
      </c>
      <c r="M21" s="74">
        <v>0.36968576709796674</v>
      </c>
      <c r="N21" s="74">
        <v>0.9242144177449169</v>
      </c>
      <c r="O21" s="74">
        <v>36.78373382624769</v>
      </c>
      <c r="P21" s="74">
        <v>0.18484288354898337</v>
      </c>
      <c r="Q21" s="74">
        <v>0.36968576709796674</v>
      </c>
      <c r="R21" s="74">
        <v>0</v>
      </c>
      <c r="S21" s="74">
        <v>0</v>
      </c>
      <c r="T21" s="74">
        <v>0.36968576709796674</v>
      </c>
      <c r="U21" s="74">
        <v>0.9242144177449169</v>
      </c>
      <c r="V21" s="74">
        <v>1.0968921389396709</v>
      </c>
      <c r="W21" s="65">
        <f>100/'2011 Totals'!W43*'2011 Totals'!W19</f>
        <v>3.533135253843173</v>
      </c>
    </row>
    <row r="22" spans="2:23" ht="12.75">
      <c r="B22" s="73" t="s">
        <v>168</v>
      </c>
      <c r="C22" s="121">
        <v>2</v>
      </c>
      <c r="D22" s="121">
        <v>5</v>
      </c>
      <c r="E22" s="122" t="s">
        <v>40</v>
      </c>
      <c r="F22" s="74">
        <v>31.35725429017161</v>
      </c>
      <c r="G22" s="74">
        <v>4.056162246489859</v>
      </c>
      <c r="H22" s="74">
        <v>17.160686427457097</v>
      </c>
      <c r="I22" s="74">
        <v>0.62402496099844</v>
      </c>
      <c r="J22" s="74">
        <v>2.8081123244929795</v>
      </c>
      <c r="K22" s="74">
        <v>0.15600624024961</v>
      </c>
      <c r="L22" s="74">
        <v>7.02028081123245</v>
      </c>
      <c r="M22" s="74">
        <v>0.15600624024961</v>
      </c>
      <c r="N22" s="74">
        <v>0.7800312012480499</v>
      </c>
      <c r="O22" s="74">
        <v>32.917316692667704</v>
      </c>
      <c r="P22" s="74">
        <v>0.15600624024961</v>
      </c>
      <c r="Q22" s="74">
        <v>1.0920436817472698</v>
      </c>
      <c r="R22" s="74">
        <v>0</v>
      </c>
      <c r="S22" s="74">
        <v>0.31201248049922</v>
      </c>
      <c r="T22" s="74">
        <v>0.15600624024961</v>
      </c>
      <c r="U22" s="74">
        <v>1.24804992199688</v>
      </c>
      <c r="V22" s="74">
        <v>1.5360983102918588</v>
      </c>
      <c r="W22" s="65">
        <f>100/'2011 Totals'!W43*'2011 Totals'!W20</f>
        <v>4.204883090040046</v>
      </c>
    </row>
    <row r="23" spans="2:23" ht="12.75">
      <c r="B23" s="73" t="s">
        <v>97</v>
      </c>
      <c r="C23" s="121">
        <v>3</v>
      </c>
      <c r="D23" s="121">
        <v>1</v>
      </c>
      <c r="E23" s="121" t="s">
        <v>39</v>
      </c>
      <c r="F23" s="74">
        <v>28.571428571428573</v>
      </c>
      <c r="G23" s="74">
        <v>6.6869300911854115</v>
      </c>
      <c r="H23" s="74">
        <v>27.659574468085108</v>
      </c>
      <c r="I23" s="74">
        <v>1.21580547112462</v>
      </c>
      <c r="J23" s="74">
        <v>3.3434650455927057</v>
      </c>
      <c r="K23" s="74">
        <v>0</v>
      </c>
      <c r="L23" s="74">
        <v>6.990881458966566</v>
      </c>
      <c r="M23" s="74">
        <v>0</v>
      </c>
      <c r="N23" s="74">
        <v>0</v>
      </c>
      <c r="O23" s="74">
        <v>24.012158054711247</v>
      </c>
      <c r="P23" s="74">
        <v>0</v>
      </c>
      <c r="Q23" s="74">
        <v>0.303951367781155</v>
      </c>
      <c r="R23" s="74">
        <v>0</v>
      </c>
      <c r="S23" s="74">
        <v>0</v>
      </c>
      <c r="T23" s="74">
        <v>0</v>
      </c>
      <c r="U23" s="74">
        <v>1.21580547112462</v>
      </c>
      <c r="V23" s="74">
        <v>1.4970059880239521</v>
      </c>
      <c r="W23" s="65">
        <f>100/'2011 Totals'!W43*'2011 Totals'!W21</f>
        <v>2.1573440124014986</v>
      </c>
    </row>
    <row r="24" spans="2:23" ht="12.75">
      <c r="B24" s="73" t="s">
        <v>97</v>
      </c>
      <c r="C24" s="121">
        <v>3</v>
      </c>
      <c r="D24" s="121">
        <v>1</v>
      </c>
      <c r="E24" s="121" t="s">
        <v>40</v>
      </c>
      <c r="F24" s="74">
        <v>34.19203747072599</v>
      </c>
      <c r="G24" s="74">
        <v>4.215456674473068</v>
      </c>
      <c r="H24" s="74">
        <v>27.40046838407494</v>
      </c>
      <c r="I24" s="74">
        <v>1.17096018735363</v>
      </c>
      <c r="J24" s="74">
        <v>0.468384074941452</v>
      </c>
      <c r="K24" s="74">
        <v>0.234192037470726</v>
      </c>
      <c r="L24" s="74">
        <v>6.791569086651054</v>
      </c>
      <c r="M24" s="74">
        <v>0.234192037470726</v>
      </c>
      <c r="N24" s="74">
        <v>1.17096018735363</v>
      </c>
      <c r="O24" s="74">
        <v>21.54566744730679</v>
      </c>
      <c r="P24" s="74">
        <v>0</v>
      </c>
      <c r="Q24" s="74">
        <v>1.405152224824356</v>
      </c>
      <c r="R24" s="74">
        <v>0</v>
      </c>
      <c r="S24" s="74">
        <v>0</v>
      </c>
      <c r="T24" s="74">
        <v>0</v>
      </c>
      <c r="U24" s="74">
        <v>1.17096018735363</v>
      </c>
      <c r="V24" s="74">
        <v>2.733485193621868</v>
      </c>
      <c r="W24" s="65">
        <f>100/'2011 Totals'!W43*'2011 Totals'!W22</f>
        <v>2.835550962407958</v>
      </c>
    </row>
    <row r="25" spans="2:23" ht="12.75">
      <c r="B25" s="73" t="s">
        <v>98</v>
      </c>
      <c r="C25" s="121">
        <v>3</v>
      </c>
      <c r="D25" s="121">
        <v>2</v>
      </c>
      <c r="E25" s="122" t="s">
        <v>39</v>
      </c>
      <c r="F25" s="74">
        <v>33.49875930521092</v>
      </c>
      <c r="G25" s="74">
        <v>4.714640198511166</v>
      </c>
      <c r="H25" s="74">
        <v>20.595533498759306</v>
      </c>
      <c r="I25" s="74">
        <v>0.7444168734491315</v>
      </c>
      <c r="J25" s="74">
        <v>5.2109181141439205</v>
      </c>
      <c r="K25" s="74">
        <v>0</v>
      </c>
      <c r="L25" s="74">
        <v>4.714640198511166</v>
      </c>
      <c r="M25" s="74">
        <v>0.7444168734491315</v>
      </c>
      <c r="N25" s="74">
        <v>0.49627791563275436</v>
      </c>
      <c r="O25" s="74">
        <v>24.56575682382134</v>
      </c>
      <c r="P25" s="74">
        <v>0.24813895781637718</v>
      </c>
      <c r="Q25" s="74">
        <v>1.488833746898263</v>
      </c>
      <c r="R25" s="74">
        <v>0.24813895781637718</v>
      </c>
      <c r="S25" s="74">
        <v>0.24813895781637718</v>
      </c>
      <c r="T25" s="74">
        <v>0.49627791563275436</v>
      </c>
      <c r="U25" s="74">
        <v>1.9851116625310175</v>
      </c>
      <c r="V25" s="74">
        <v>2.657004830917874</v>
      </c>
      <c r="W25" s="65">
        <f>100/'2011 Totals'!W43*'2011 Totals'!W23</f>
        <v>2.6740731171683243</v>
      </c>
    </row>
    <row r="26" spans="2:23" ht="12.75">
      <c r="B26" s="73" t="s">
        <v>98</v>
      </c>
      <c r="C26" s="121">
        <v>3</v>
      </c>
      <c r="D26" s="121">
        <v>2</v>
      </c>
      <c r="E26" s="122" t="s">
        <v>40</v>
      </c>
      <c r="F26" s="74">
        <v>30.29612756264237</v>
      </c>
      <c r="G26" s="74">
        <v>5.922551252847381</v>
      </c>
      <c r="H26" s="74">
        <v>21.867881548974943</v>
      </c>
      <c r="I26" s="74">
        <v>0.683371298405467</v>
      </c>
      <c r="J26" s="74">
        <v>3.1890660592255125</v>
      </c>
      <c r="K26" s="74">
        <v>0</v>
      </c>
      <c r="L26" s="74">
        <v>5.922551252847381</v>
      </c>
      <c r="M26" s="74">
        <v>0.683371298405467</v>
      </c>
      <c r="N26" s="74">
        <v>0.683371298405467</v>
      </c>
      <c r="O26" s="74">
        <v>26.65148063781321</v>
      </c>
      <c r="P26" s="74">
        <v>0</v>
      </c>
      <c r="Q26" s="74">
        <v>0.22779043280182232</v>
      </c>
      <c r="R26" s="74">
        <v>0</v>
      </c>
      <c r="S26" s="74">
        <v>0.22779043280182232</v>
      </c>
      <c r="T26" s="74">
        <v>0.45558086560364464</v>
      </c>
      <c r="U26" s="74">
        <v>3.1890660592255125</v>
      </c>
      <c r="V26" s="74">
        <v>2.8761061946902653</v>
      </c>
      <c r="W26" s="65">
        <f>100/'2011 Totals'!W43*'2011 Totals'!W24</f>
        <v>2.9195194419325667</v>
      </c>
    </row>
    <row r="27" spans="2:23" ht="12.75">
      <c r="B27" s="73" t="s">
        <v>169</v>
      </c>
      <c r="C27" s="121">
        <v>3</v>
      </c>
      <c r="D27" s="121">
        <v>3</v>
      </c>
      <c r="E27" s="122" t="s">
        <v>39</v>
      </c>
      <c r="F27" s="74">
        <v>26.5625</v>
      </c>
      <c r="G27" s="74">
        <v>4.947916666666667</v>
      </c>
      <c r="H27" s="74">
        <v>19.53125</v>
      </c>
      <c r="I27" s="74">
        <v>1.5625</v>
      </c>
      <c r="J27" s="74">
        <v>2.34375</v>
      </c>
      <c r="K27" s="74">
        <v>0.2604166666666667</v>
      </c>
      <c r="L27" s="74">
        <v>9.895833333333334</v>
      </c>
      <c r="M27" s="74">
        <v>0.2604166666666667</v>
      </c>
      <c r="N27" s="74">
        <v>1.822916666666667</v>
      </c>
      <c r="O27" s="74">
        <v>31.51041666666667</v>
      </c>
      <c r="P27" s="74">
        <v>0</v>
      </c>
      <c r="Q27" s="74">
        <v>0</v>
      </c>
      <c r="R27" s="74">
        <v>0</v>
      </c>
      <c r="S27" s="74">
        <v>0</v>
      </c>
      <c r="T27" s="74">
        <v>0</v>
      </c>
      <c r="U27" s="74">
        <v>1.3020833333333333</v>
      </c>
      <c r="V27" s="74">
        <v>0.2597402597402597</v>
      </c>
      <c r="W27" s="65">
        <f>100/'2011 Totals'!W43*'2011 Totals'!W25</f>
        <v>2.48675881669035</v>
      </c>
    </row>
    <row r="28" spans="2:23" ht="12.75">
      <c r="B28" s="73" t="s">
        <v>169</v>
      </c>
      <c r="C28" s="121">
        <v>3</v>
      </c>
      <c r="D28" s="121">
        <v>3</v>
      </c>
      <c r="E28" s="122" t="s">
        <v>40</v>
      </c>
      <c r="F28" s="74">
        <v>26.016260162601625</v>
      </c>
      <c r="G28" s="74">
        <v>2.9810298102981028</v>
      </c>
      <c r="H28" s="74">
        <v>19.241192411924118</v>
      </c>
      <c r="I28" s="74">
        <v>0.27100271002710025</v>
      </c>
      <c r="J28" s="74">
        <v>0.8130081300813008</v>
      </c>
      <c r="K28" s="74">
        <v>0.27100271002710025</v>
      </c>
      <c r="L28" s="74">
        <v>8.94308943089431</v>
      </c>
      <c r="M28" s="74">
        <v>0.8130081300813008</v>
      </c>
      <c r="N28" s="74">
        <v>1.3550135501355016</v>
      </c>
      <c r="O28" s="74">
        <v>36.856368563685635</v>
      </c>
      <c r="P28" s="74">
        <v>0</v>
      </c>
      <c r="Q28" s="74">
        <v>0.8130081300813008</v>
      </c>
      <c r="R28" s="74">
        <v>0</v>
      </c>
      <c r="S28" s="74">
        <v>0.27100271002710025</v>
      </c>
      <c r="T28" s="74">
        <v>0</v>
      </c>
      <c r="U28" s="74">
        <v>1.3550135501355016</v>
      </c>
      <c r="V28" s="74">
        <v>1.6</v>
      </c>
      <c r="W28" s="65">
        <f>100/'2011 Totals'!W43*'2011 Totals'!W26</f>
        <v>2.422167678594497</v>
      </c>
    </row>
    <row r="29" spans="2:23" ht="12.75">
      <c r="B29" s="73" t="s">
        <v>169</v>
      </c>
      <c r="C29" s="121">
        <v>3</v>
      </c>
      <c r="D29" s="121">
        <v>3</v>
      </c>
      <c r="E29" s="122" t="s">
        <v>92</v>
      </c>
      <c r="F29" s="74">
        <v>27.753303964757713</v>
      </c>
      <c r="G29" s="74">
        <v>3.964757709251102</v>
      </c>
      <c r="H29" s="74">
        <v>25.330396475770925</v>
      </c>
      <c r="I29" s="74">
        <v>1.1013215859030836</v>
      </c>
      <c r="J29" s="74">
        <v>1.3215859030837005</v>
      </c>
      <c r="K29" s="74">
        <v>0</v>
      </c>
      <c r="L29" s="74">
        <v>6.607929515418503</v>
      </c>
      <c r="M29" s="74">
        <v>0.22026431718061673</v>
      </c>
      <c r="N29" s="74">
        <v>2.8634361233480177</v>
      </c>
      <c r="O29" s="74">
        <v>27.312775330396477</v>
      </c>
      <c r="P29" s="74">
        <v>0.44052863436123346</v>
      </c>
      <c r="Q29" s="74">
        <v>1.3215859030837005</v>
      </c>
      <c r="R29" s="74">
        <v>0</v>
      </c>
      <c r="S29" s="74">
        <v>0</v>
      </c>
      <c r="T29" s="74">
        <v>0.22026431718061673</v>
      </c>
      <c r="U29" s="74">
        <v>1.5418502202643172</v>
      </c>
      <c r="V29" s="74">
        <v>1.9438444924406049</v>
      </c>
      <c r="W29" s="65">
        <f>100/'2011 Totals'!W43*'2011 Totals'!W27</f>
        <v>2.9905696938380055</v>
      </c>
    </row>
    <row r="30" spans="2:23" ht="12.75">
      <c r="B30" s="73" t="s">
        <v>100</v>
      </c>
      <c r="C30" s="121">
        <v>3</v>
      </c>
      <c r="D30" s="121">
        <v>4</v>
      </c>
      <c r="E30" s="122" t="s">
        <v>39</v>
      </c>
      <c r="F30" s="74">
        <v>28.391959798994975</v>
      </c>
      <c r="G30" s="74">
        <v>4.0201005025125625</v>
      </c>
      <c r="H30" s="74">
        <v>27.386934673366838</v>
      </c>
      <c r="I30" s="74">
        <v>0.5025125628140703</v>
      </c>
      <c r="J30" s="74">
        <v>3.0150753768844227</v>
      </c>
      <c r="K30" s="74">
        <v>0.5025125628140703</v>
      </c>
      <c r="L30" s="74">
        <v>4.522613065326633</v>
      </c>
      <c r="M30" s="74">
        <v>0.5025125628140703</v>
      </c>
      <c r="N30" s="74">
        <v>0.5025125628140703</v>
      </c>
      <c r="O30" s="74">
        <v>25.125628140703522</v>
      </c>
      <c r="P30" s="74">
        <v>0.5025125628140703</v>
      </c>
      <c r="Q30" s="74">
        <v>1.256281407035176</v>
      </c>
      <c r="R30" s="74">
        <v>0</v>
      </c>
      <c r="S30" s="74">
        <v>0</v>
      </c>
      <c r="T30" s="74">
        <v>0.7537688442211057</v>
      </c>
      <c r="U30" s="74">
        <v>3.0150753768844227</v>
      </c>
      <c r="V30" s="74">
        <v>1.728395061728395</v>
      </c>
      <c r="W30" s="65">
        <f>100/'2011 Totals'!W43*'2011 Totals'!W28</f>
        <v>2.6159410928820566</v>
      </c>
    </row>
    <row r="31" spans="2:23" ht="12.75">
      <c r="B31" s="73" t="s">
        <v>100</v>
      </c>
      <c r="C31" s="121">
        <v>3</v>
      </c>
      <c r="D31" s="121">
        <v>4</v>
      </c>
      <c r="E31" s="122" t="s">
        <v>40</v>
      </c>
      <c r="F31" s="74">
        <v>31.277533039647576</v>
      </c>
      <c r="G31" s="74">
        <v>3.0837004405286343</v>
      </c>
      <c r="H31" s="74">
        <v>23.78854625550661</v>
      </c>
      <c r="I31" s="74">
        <v>0.44052863436123346</v>
      </c>
      <c r="J31" s="74">
        <v>4.405286343612334</v>
      </c>
      <c r="K31" s="74">
        <v>0.44052863436123346</v>
      </c>
      <c r="L31" s="74">
        <v>5.506607929515418</v>
      </c>
      <c r="M31" s="74">
        <v>0.22026431718061673</v>
      </c>
      <c r="N31" s="74">
        <v>1.5418502202643172</v>
      </c>
      <c r="O31" s="74">
        <v>25.11013215859031</v>
      </c>
      <c r="P31" s="74">
        <v>0.6607929515418502</v>
      </c>
      <c r="Q31" s="74">
        <v>1.1013215859030836</v>
      </c>
      <c r="R31" s="74">
        <v>0.22026431718061673</v>
      </c>
      <c r="S31" s="74">
        <v>0</v>
      </c>
      <c r="T31" s="74">
        <v>0</v>
      </c>
      <c r="U31" s="74">
        <v>2.202643171806167</v>
      </c>
      <c r="V31" s="74">
        <v>1.5184381778741867</v>
      </c>
      <c r="W31" s="65">
        <f>100/'2011 Totals'!W43*'2011 Totals'!W29</f>
        <v>2.977651466218835</v>
      </c>
    </row>
    <row r="32" spans="2:23" ht="12.75">
      <c r="B32" s="73" t="s">
        <v>100</v>
      </c>
      <c r="C32" s="121">
        <v>3</v>
      </c>
      <c r="D32" s="121">
        <v>4</v>
      </c>
      <c r="E32" s="122" t="s">
        <v>92</v>
      </c>
      <c r="F32" s="74">
        <v>34.73053892215569</v>
      </c>
      <c r="G32" s="74">
        <v>3.1936127744510983</v>
      </c>
      <c r="H32" s="74">
        <v>23.952095808383234</v>
      </c>
      <c r="I32" s="74">
        <v>1.1976047904191616</v>
      </c>
      <c r="J32" s="74">
        <v>2.395209580838323</v>
      </c>
      <c r="K32" s="74">
        <v>0.3992015968063873</v>
      </c>
      <c r="L32" s="74">
        <v>3.7924151696606785</v>
      </c>
      <c r="M32" s="74">
        <v>0.7984031936127746</v>
      </c>
      <c r="N32" s="74">
        <v>1.5968063872255491</v>
      </c>
      <c r="O32" s="74">
        <v>25.548902195608786</v>
      </c>
      <c r="P32" s="74">
        <v>0.19960079840319364</v>
      </c>
      <c r="Q32" s="74">
        <v>0.998003992015968</v>
      </c>
      <c r="R32" s="74">
        <v>0.19960079840319364</v>
      </c>
      <c r="S32" s="74">
        <v>0</v>
      </c>
      <c r="T32" s="74">
        <v>0</v>
      </c>
      <c r="U32" s="74">
        <v>0.998003992015968</v>
      </c>
      <c r="V32" s="74">
        <v>1.183431952662722</v>
      </c>
      <c r="W32" s="65">
        <f>100/'2011 Totals'!W43*'2011 Totals'!W30</f>
        <v>3.27477070145976</v>
      </c>
    </row>
    <row r="33" spans="2:23" ht="12.75">
      <c r="B33" s="73" t="s">
        <v>97</v>
      </c>
      <c r="C33" s="121">
        <v>3</v>
      </c>
      <c r="D33" s="121">
        <v>5</v>
      </c>
      <c r="E33" s="122" t="s">
        <v>41</v>
      </c>
      <c r="F33" s="74">
        <v>34.251290877796905</v>
      </c>
      <c r="G33" s="74">
        <v>6.368330464716007</v>
      </c>
      <c r="H33" s="74">
        <v>24.440619621342513</v>
      </c>
      <c r="I33" s="74">
        <v>1.2048192771084338</v>
      </c>
      <c r="J33" s="74">
        <v>2.2375215146299485</v>
      </c>
      <c r="K33" s="74">
        <v>0</v>
      </c>
      <c r="L33" s="74">
        <v>6.02409638554217</v>
      </c>
      <c r="M33" s="74">
        <v>0.5163511187607573</v>
      </c>
      <c r="N33" s="74">
        <v>0.6884681583476764</v>
      </c>
      <c r="O33" s="74">
        <v>21.514629948364888</v>
      </c>
      <c r="P33" s="74">
        <v>0</v>
      </c>
      <c r="Q33" s="74">
        <v>0.3442340791738382</v>
      </c>
      <c r="R33" s="74">
        <v>0.1721170395869191</v>
      </c>
      <c r="S33" s="74">
        <v>0</v>
      </c>
      <c r="T33" s="74">
        <v>0.3442340791738382</v>
      </c>
      <c r="U33" s="74">
        <v>1.8932874354561102</v>
      </c>
      <c r="V33" s="74">
        <v>2.0236087689713322</v>
      </c>
      <c r="W33" s="65">
        <f>100/'2011 Totals'!W43*'2011 Totals'!W31</f>
        <v>3.8302544890840977</v>
      </c>
    </row>
    <row r="34" spans="2:23" ht="12.75">
      <c r="B34" s="73" t="s">
        <v>98</v>
      </c>
      <c r="C34" s="121">
        <v>3</v>
      </c>
      <c r="D34" s="121">
        <v>6</v>
      </c>
      <c r="E34" s="122" t="s">
        <v>39</v>
      </c>
      <c r="F34" s="74">
        <v>26.340326340326342</v>
      </c>
      <c r="G34" s="74">
        <v>7.459207459207459</v>
      </c>
      <c r="H34" s="74">
        <v>33.7995337995338</v>
      </c>
      <c r="I34" s="74">
        <v>0.4662004662004662</v>
      </c>
      <c r="J34" s="74">
        <v>1.6317016317016317</v>
      </c>
      <c r="K34" s="74">
        <v>0.2331002331002331</v>
      </c>
      <c r="L34" s="74">
        <v>4.662004662004663</v>
      </c>
      <c r="M34" s="74">
        <v>0.6993006993006994</v>
      </c>
      <c r="N34" s="74">
        <v>0.2331002331002331</v>
      </c>
      <c r="O34" s="74">
        <v>20.97902097902098</v>
      </c>
      <c r="P34" s="74">
        <v>0.4662004662004662</v>
      </c>
      <c r="Q34" s="74">
        <v>0.6993006993006994</v>
      </c>
      <c r="R34" s="74">
        <v>0</v>
      </c>
      <c r="S34" s="74">
        <v>0.2331002331002331</v>
      </c>
      <c r="T34" s="74">
        <v>0</v>
      </c>
      <c r="U34" s="74">
        <v>2.097902097902098</v>
      </c>
      <c r="V34" s="74">
        <v>1.8306636155606406</v>
      </c>
      <c r="W34" s="65">
        <f>100/'2011 Totals'!W43*'2011 Totals'!W32</f>
        <v>2.8226327347887867</v>
      </c>
    </row>
    <row r="35" spans="2:23" ht="12.75">
      <c r="B35" s="73" t="s">
        <v>98</v>
      </c>
      <c r="C35" s="121">
        <v>3</v>
      </c>
      <c r="D35" s="121">
        <v>6</v>
      </c>
      <c r="E35" s="122" t="s">
        <v>40</v>
      </c>
      <c r="F35" s="74">
        <v>28.02547770700637</v>
      </c>
      <c r="G35" s="74">
        <v>9.129511677282379</v>
      </c>
      <c r="H35" s="74">
        <v>29.087048832271762</v>
      </c>
      <c r="I35" s="74">
        <v>0.21231422505307854</v>
      </c>
      <c r="J35" s="74">
        <v>2.9723991507431</v>
      </c>
      <c r="K35" s="74">
        <v>0.21231422505307854</v>
      </c>
      <c r="L35" s="74">
        <v>6.369426751592357</v>
      </c>
      <c r="M35" s="74">
        <v>0.4246284501061571</v>
      </c>
      <c r="N35" s="74">
        <v>1.0615711252653928</v>
      </c>
      <c r="O35" s="74">
        <v>18.89596602972399</v>
      </c>
      <c r="P35" s="74">
        <v>0.21231422505307854</v>
      </c>
      <c r="Q35" s="74">
        <v>1.0615711252653928</v>
      </c>
      <c r="R35" s="74">
        <v>0</v>
      </c>
      <c r="S35" s="74">
        <v>0.21231422505307854</v>
      </c>
      <c r="T35" s="74">
        <v>0.21231422505307854</v>
      </c>
      <c r="U35" s="74">
        <v>1.9108280254777072</v>
      </c>
      <c r="V35" s="74">
        <v>1.4644351464435148</v>
      </c>
      <c r="W35" s="65">
        <f>100/'2011 Totals'!W43*'2011 Totals'!W33</f>
        <v>3.087456400981785</v>
      </c>
    </row>
    <row r="36" spans="2:23" ht="12.75">
      <c r="B36" s="73" t="s">
        <v>170</v>
      </c>
      <c r="C36" s="121">
        <v>3</v>
      </c>
      <c r="D36" s="121">
        <v>7</v>
      </c>
      <c r="E36" s="122" t="s">
        <v>39</v>
      </c>
      <c r="F36" s="74">
        <v>23.177083333333332</v>
      </c>
      <c r="G36" s="74">
        <v>4.6875</v>
      </c>
      <c r="H36" s="74">
        <v>25.78125</v>
      </c>
      <c r="I36" s="74">
        <v>1.041666666666667</v>
      </c>
      <c r="J36" s="74">
        <v>2.864583333333334</v>
      </c>
      <c r="K36" s="74">
        <v>0</v>
      </c>
      <c r="L36" s="74">
        <v>6.510416666666668</v>
      </c>
      <c r="M36" s="74">
        <v>1.041666666666667</v>
      </c>
      <c r="N36" s="74">
        <v>1.822916666666667</v>
      </c>
      <c r="O36" s="74">
        <v>31.51041666666667</v>
      </c>
      <c r="P36" s="74">
        <v>0.26041666666666674</v>
      </c>
      <c r="Q36" s="74">
        <v>0.78125</v>
      </c>
      <c r="R36" s="74">
        <v>0</v>
      </c>
      <c r="S36" s="74">
        <v>0</v>
      </c>
      <c r="T36" s="74">
        <v>0.5208333333333335</v>
      </c>
      <c r="U36" s="76">
        <v>0</v>
      </c>
      <c r="V36" s="76">
        <v>1.79</v>
      </c>
      <c r="W36" s="65">
        <f>100/'2011 Totals'!W43*'2011 Totals'!W334</f>
        <v>0</v>
      </c>
    </row>
    <row r="37" spans="2:23" ht="12.75">
      <c r="B37" s="73" t="s">
        <v>170</v>
      </c>
      <c r="C37" s="121">
        <v>3</v>
      </c>
      <c r="D37" s="121">
        <v>7</v>
      </c>
      <c r="E37" s="122" t="s">
        <v>40</v>
      </c>
      <c r="F37" s="74">
        <v>29.43820224719101</v>
      </c>
      <c r="G37" s="74">
        <v>4.719101123595506</v>
      </c>
      <c r="H37" s="74">
        <v>22.247191011235955</v>
      </c>
      <c r="I37" s="74">
        <v>0.6741573033707864</v>
      </c>
      <c r="J37" s="74">
        <v>2.9213483146067416</v>
      </c>
      <c r="K37" s="74">
        <v>0.44943820224719105</v>
      </c>
      <c r="L37" s="74">
        <v>7.415730337078653</v>
      </c>
      <c r="M37" s="74">
        <v>0.22471910112359553</v>
      </c>
      <c r="N37" s="74">
        <v>0.44943820224719105</v>
      </c>
      <c r="O37" s="74">
        <v>28.764044943820227</v>
      </c>
      <c r="P37" s="74">
        <v>0.22471910112359553</v>
      </c>
      <c r="Q37" s="74">
        <v>0.6741573033707864</v>
      </c>
      <c r="R37" s="74">
        <v>0.22471910112359553</v>
      </c>
      <c r="S37" s="74">
        <v>0</v>
      </c>
      <c r="T37" s="74">
        <v>0.44943820224719105</v>
      </c>
      <c r="U37" s="74">
        <v>1.1235955056179778</v>
      </c>
      <c r="V37" s="74">
        <v>1.3303769401330376</v>
      </c>
      <c r="W37" s="65">
        <f>100/'2011 Totals'!W43*'2011 Totals'!W35</f>
        <v>2.9130603281229814</v>
      </c>
    </row>
    <row r="38" spans="2:23" ht="12.75">
      <c r="B38" s="73" t="s">
        <v>170</v>
      </c>
      <c r="C38" s="121">
        <v>3</v>
      </c>
      <c r="D38" s="121">
        <v>7</v>
      </c>
      <c r="E38" s="122" t="s">
        <v>92</v>
      </c>
      <c r="F38" s="74">
        <v>28.416485900216923</v>
      </c>
      <c r="G38" s="74">
        <v>2.6030368763557483</v>
      </c>
      <c r="H38" s="74">
        <v>24.728850325379614</v>
      </c>
      <c r="I38" s="74">
        <v>0.8676789587852494</v>
      </c>
      <c r="J38" s="74">
        <v>2.386117136659436</v>
      </c>
      <c r="K38" s="74">
        <v>0.21691973969631234</v>
      </c>
      <c r="L38" s="74">
        <v>5.422993492407809</v>
      </c>
      <c r="M38" s="74">
        <v>0.21691973969631234</v>
      </c>
      <c r="N38" s="74">
        <v>1.5184381778741867</v>
      </c>
      <c r="O38" s="74">
        <v>31.019522776572668</v>
      </c>
      <c r="P38" s="74">
        <v>0.21691973969631234</v>
      </c>
      <c r="Q38" s="74">
        <v>0.8676789587852494</v>
      </c>
      <c r="R38" s="74">
        <v>0</v>
      </c>
      <c r="S38" s="74">
        <v>0</v>
      </c>
      <c r="T38" s="74">
        <v>0</v>
      </c>
      <c r="U38" s="74">
        <v>1.5184381778741867</v>
      </c>
      <c r="V38" s="74">
        <v>0.8602150537634409</v>
      </c>
      <c r="W38" s="65">
        <f>100/'2011 Totals'!W43*'2011 Totals'!W36</f>
        <v>3.003487921457176</v>
      </c>
    </row>
    <row r="39" spans="2:23" ht="12.75">
      <c r="B39" s="73" t="s">
        <v>102</v>
      </c>
      <c r="C39" s="121">
        <v>3</v>
      </c>
      <c r="D39" s="121">
        <v>8</v>
      </c>
      <c r="E39" s="122" t="s">
        <v>39</v>
      </c>
      <c r="F39" s="74">
        <v>26.10619469026549</v>
      </c>
      <c r="G39" s="74">
        <v>3.7610619469026547</v>
      </c>
      <c r="H39" s="74">
        <v>19.24778761061947</v>
      </c>
      <c r="I39" s="74">
        <v>0.22123893805309736</v>
      </c>
      <c r="J39" s="74">
        <v>3.9823008849557517</v>
      </c>
      <c r="K39" s="74">
        <v>0</v>
      </c>
      <c r="L39" s="74">
        <v>7.522123893805309</v>
      </c>
      <c r="M39" s="74">
        <v>0.4424778761061947</v>
      </c>
      <c r="N39" s="74">
        <v>0.4424778761061947</v>
      </c>
      <c r="O39" s="74">
        <v>34.29203539823009</v>
      </c>
      <c r="P39" s="74">
        <v>0.22123893805309736</v>
      </c>
      <c r="Q39" s="74">
        <v>0.6637168141592921</v>
      </c>
      <c r="R39" s="74">
        <v>0</v>
      </c>
      <c r="S39" s="74">
        <v>0</v>
      </c>
      <c r="T39" s="74">
        <v>0</v>
      </c>
      <c r="U39" s="76">
        <v>3.1</v>
      </c>
      <c r="V39" s="76">
        <v>1.95</v>
      </c>
      <c r="W39" s="65">
        <f>100/'2011 Totals'!W43*'2011 Totals'!W37</f>
        <v>2.977651466218835</v>
      </c>
    </row>
    <row r="40" spans="2:23" ht="12.75">
      <c r="B40" s="73" t="s">
        <v>102</v>
      </c>
      <c r="C40" s="121">
        <v>3</v>
      </c>
      <c r="D40" s="121">
        <v>8</v>
      </c>
      <c r="E40" s="122" t="s">
        <v>40</v>
      </c>
      <c r="F40" s="74">
        <v>31.88908145580589</v>
      </c>
      <c r="G40" s="74">
        <v>3.9861351819757362</v>
      </c>
      <c r="H40" s="74">
        <v>14.904679376083191</v>
      </c>
      <c r="I40" s="74">
        <v>0.5199306759098787</v>
      </c>
      <c r="J40" s="74">
        <v>4.332755632582322</v>
      </c>
      <c r="K40" s="74">
        <v>0</v>
      </c>
      <c r="L40" s="74">
        <v>6.239168110918544</v>
      </c>
      <c r="M40" s="74">
        <v>0.3466204506065858</v>
      </c>
      <c r="N40" s="74">
        <v>2.079722703639515</v>
      </c>
      <c r="O40" s="74">
        <v>32.23570190641248</v>
      </c>
      <c r="P40" s="74">
        <v>0.1733102253032929</v>
      </c>
      <c r="Q40" s="74">
        <v>1.0398613518197575</v>
      </c>
      <c r="R40" s="74">
        <v>0.1733102253032929</v>
      </c>
      <c r="S40" s="74">
        <v>0.1733102253032929</v>
      </c>
      <c r="T40" s="74">
        <v>0.3466204506065858</v>
      </c>
      <c r="U40" s="74">
        <v>1.559792027729636</v>
      </c>
      <c r="V40" s="74">
        <v>0.3454231433506045</v>
      </c>
      <c r="W40" s="65">
        <f>100/'2011 Totals'!W43*'2011 Totals'!W38</f>
        <v>3.739826895749903</v>
      </c>
    </row>
    <row r="41" spans="2:23" ht="12.75">
      <c r="B41" s="73" t="s">
        <v>103</v>
      </c>
      <c r="C41" s="121">
        <v>3</v>
      </c>
      <c r="D41" s="121">
        <v>9</v>
      </c>
      <c r="E41" s="122" t="s">
        <v>39</v>
      </c>
      <c r="F41" s="74">
        <v>26.548672566371685</v>
      </c>
      <c r="G41" s="74">
        <v>4.719764011799411</v>
      </c>
      <c r="H41" s="74">
        <v>28.908554572271388</v>
      </c>
      <c r="I41" s="74">
        <v>0.5899705014749264</v>
      </c>
      <c r="J41" s="74">
        <v>4.129793510324483</v>
      </c>
      <c r="K41" s="74">
        <v>0</v>
      </c>
      <c r="L41" s="74">
        <v>4.719764011799411</v>
      </c>
      <c r="M41" s="74">
        <v>0.8849557522123894</v>
      </c>
      <c r="N41" s="74">
        <v>1.4749262536873156</v>
      </c>
      <c r="O41" s="74">
        <v>24.778761061946902</v>
      </c>
      <c r="P41" s="74">
        <v>0.8849557522123894</v>
      </c>
      <c r="Q41" s="74">
        <v>1.1799410029498527</v>
      </c>
      <c r="R41" s="74">
        <v>0</v>
      </c>
      <c r="S41" s="74">
        <v>0.2949852507374632</v>
      </c>
      <c r="T41" s="74">
        <v>0.5899705014749264</v>
      </c>
      <c r="U41" s="74">
        <v>0.2949852507374632</v>
      </c>
      <c r="V41" s="74">
        <v>0.5865102639296188</v>
      </c>
      <c r="W41" s="65">
        <f>100/'2011 Totals'!W43*'2011 Totals'!W39</f>
        <v>2.2025578090685958</v>
      </c>
    </row>
    <row r="42" spans="2:23" ht="12.75">
      <c r="B42" s="73" t="s">
        <v>103</v>
      </c>
      <c r="C42" s="121">
        <v>3</v>
      </c>
      <c r="D42" s="121">
        <v>9</v>
      </c>
      <c r="E42" s="122" t="s">
        <v>40</v>
      </c>
      <c r="F42" s="74">
        <v>23.872679045092838</v>
      </c>
      <c r="G42" s="74">
        <v>7.692307692307692</v>
      </c>
      <c r="H42" s="74">
        <v>29.177718832891248</v>
      </c>
      <c r="I42" s="74">
        <v>0.26525198938992045</v>
      </c>
      <c r="J42" s="74">
        <v>2.387267904509284</v>
      </c>
      <c r="K42" s="74">
        <v>0.26525198938992045</v>
      </c>
      <c r="L42" s="74">
        <v>4.244031830238727</v>
      </c>
      <c r="M42" s="74">
        <v>0.5305039787798409</v>
      </c>
      <c r="N42" s="74">
        <v>0.26525198938992045</v>
      </c>
      <c r="O42" s="74">
        <v>28.116710875331563</v>
      </c>
      <c r="P42" s="74">
        <v>0.26525198938992045</v>
      </c>
      <c r="Q42" s="74">
        <v>1.3262599469496021</v>
      </c>
      <c r="R42" s="74">
        <v>0</v>
      </c>
      <c r="S42" s="74">
        <v>0.26525198938992045</v>
      </c>
      <c r="T42" s="74">
        <v>0.5305039787798409</v>
      </c>
      <c r="U42" s="74">
        <v>0.7957559681697611</v>
      </c>
      <c r="V42" s="74">
        <v>1.3089005235602094</v>
      </c>
      <c r="W42" s="65">
        <f>100/'2011 Totals'!W43*'2011 Totals'!W40</f>
        <v>2.467381475261594</v>
      </c>
    </row>
    <row r="43" spans="2:23" ht="12.75">
      <c r="B43" s="73" t="s">
        <v>102</v>
      </c>
      <c r="C43" s="122">
        <v>3</v>
      </c>
      <c r="D43" s="122">
        <v>10</v>
      </c>
      <c r="E43" s="122" t="s">
        <v>41</v>
      </c>
      <c r="F43" s="74">
        <v>31.25</v>
      </c>
      <c r="G43" s="74">
        <v>2.314814814814815</v>
      </c>
      <c r="H43" s="74">
        <v>27.777777777777782</v>
      </c>
      <c r="I43" s="74">
        <v>0.6944444444444444</v>
      </c>
      <c r="J43" s="74">
        <v>0.6944444444444444</v>
      </c>
      <c r="K43" s="74">
        <v>0</v>
      </c>
      <c r="L43" s="74">
        <v>5.324074074074074</v>
      </c>
      <c r="M43" s="74">
        <v>0.23148148148148148</v>
      </c>
      <c r="N43" s="74">
        <v>0.9259259259259259</v>
      </c>
      <c r="O43" s="74">
        <v>27.777777777777782</v>
      </c>
      <c r="P43" s="74">
        <v>0</v>
      </c>
      <c r="Q43" s="74">
        <v>0</v>
      </c>
      <c r="R43" s="74">
        <v>0</v>
      </c>
      <c r="S43" s="74">
        <v>0</v>
      </c>
      <c r="T43" s="74">
        <v>0.9259259259259259</v>
      </c>
      <c r="U43" s="74">
        <v>2.083333333333334</v>
      </c>
      <c r="V43" s="74">
        <v>0.4608294930875576</v>
      </c>
      <c r="W43" s="65">
        <f>100/'2011 Totals'!W43*'2011 Totals'!W41</f>
        <v>2.803255393360031</v>
      </c>
    </row>
    <row r="44" spans="2:23" ht="12.75">
      <c r="B44" s="6"/>
      <c r="C44" s="7"/>
      <c r="D44" s="7"/>
      <c r="E44" s="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48"/>
    </row>
    <row r="45" spans="1:23" ht="12.75">
      <c r="A45" s="5"/>
      <c r="B45" s="9" t="s">
        <v>89</v>
      </c>
      <c r="C45" s="10"/>
      <c r="D45" s="10"/>
      <c r="E45" s="10"/>
      <c r="F45" s="78">
        <f>100/'2011 Totals'!W43*'2011 Totals'!F43</f>
        <v>28.458855445032942</v>
      </c>
      <c r="G45" s="78">
        <f>100/'2011 Totals'!W43*'2011 Totals'!G43</f>
        <v>4.844335357188994</v>
      </c>
      <c r="H45" s="78">
        <f>100/'2011 Totals'!W43*'2011 Totals'!H43</f>
        <v>24.635060069758428</v>
      </c>
      <c r="I45" s="78">
        <f>100/'2011 Totals'!W43*'2011 Totals'!I43</f>
        <v>0.8461439090556776</v>
      </c>
      <c r="J45" s="78">
        <f>100/'2011 Totals'!W43*'2011 Totals'!J43</f>
        <v>2.900142100503811</v>
      </c>
      <c r="K45" s="78">
        <f>100/'2011 Totals'!W43*'2011 Totals'!K43</f>
        <v>0.20023252809714506</v>
      </c>
      <c r="L45" s="78">
        <f>100/'2011 Totals'!W43*'2011 Totals'!L43</f>
        <v>5.742152176721354</v>
      </c>
      <c r="M45" s="78">
        <f>100/'2011 Totals'!W43*'2011 Totals'!M43</f>
        <v>0.4456788528613874</v>
      </c>
      <c r="N45" s="78">
        <f>100/'2011 Totals'!W43*'2011 Totals'!N43</f>
        <v>0.9494897300090428</v>
      </c>
      <c r="O45" s="78">
        <f>100/'2011 Totals'!W43*'2011 Totals'!O43</f>
        <v>26.340266115488955</v>
      </c>
      <c r="P45" s="78">
        <f>100/'2011 Totals'!W43*'2011 Totals'!P43</f>
        <v>0.23898721095465703</v>
      </c>
      <c r="Q45" s="78">
        <f>100/'2011 Totals'!W43*'2011 Totals'!Q43</f>
        <v>0.7750936571502389</v>
      </c>
      <c r="R45" s="78">
        <f>100/'2011 Totals'!W43*'2011 Totals'!R43</f>
        <v>0.06459113809585325</v>
      </c>
      <c r="S45" s="78">
        <f>100/'2011 Totals'!W43*'2011 Totals'!S43</f>
        <v>0.09042759333419455</v>
      </c>
      <c r="T45" s="78">
        <f>100/'2011 Totals'!W43*'2011 Totals'!T43</f>
        <v>0.258364552383413</v>
      </c>
      <c r="U45" s="78">
        <f>100/'2011 Totals'!W43*'2011 Totals'!U43</f>
        <v>1.6664513628730138</v>
      </c>
      <c r="V45" s="78">
        <f>100/'2011 Totals'!W43*'2011 Totals'!V43</f>
        <v>1.5437282004908925</v>
      </c>
      <c r="W45" s="59">
        <f>100/'2011 Totals'!W43*'2011 Totals'!W43</f>
        <v>100</v>
      </c>
    </row>
    <row r="46" spans="2:23" ht="13.5" thickBot="1"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47"/>
    </row>
    <row r="48" spans="2:23" ht="12.75">
      <c r="B48" t="s">
        <v>157</v>
      </c>
      <c r="C48" s="52" t="s">
        <v>172</v>
      </c>
      <c r="D48" s="52"/>
      <c r="E48" s="52" t="s">
        <v>136</v>
      </c>
      <c r="F48" s="68"/>
      <c r="K48" s="52"/>
      <c r="L48" s="52"/>
      <c r="M48" s="52" t="s">
        <v>118</v>
      </c>
      <c r="N48" s="52"/>
      <c r="P48" s="52" t="s">
        <v>186</v>
      </c>
      <c r="R48" s="52"/>
      <c r="S48" s="52"/>
      <c r="W48" s="72"/>
    </row>
    <row r="49" spans="3:23" ht="12.75">
      <c r="C49" s="52" t="s">
        <v>173</v>
      </c>
      <c r="D49" s="52"/>
      <c r="E49" s="52" t="s">
        <v>171</v>
      </c>
      <c r="F49" s="52"/>
      <c r="G49" s="50"/>
      <c r="J49" s="43"/>
      <c r="K49" s="52"/>
      <c r="L49" s="52"/>
      <c r="M49" s="52" t="s">
        <v>7</v>
      </c>
      <c r="N49" s="52"/>
      <c r="P49" s="52" t="s">
        <v>187</v>
      </c>
      <c r="Q49" s="43"/>
      <c r="R49" s="52"/>
      <c r="S49" s="52"/>
      <c r="T49" s="43"/>
      <c r="U49" s="43"/>
      <c r="V49" s="43"/>
      <c r="W49" s="42"/>
    </row>
    <row r="50" spans="3:19" ht="12.75">
      <c r="C50" s="52" t="s">
        <v>104</v>
      </c>
      <c r="D50" s="52"/>
      <c r="E50" s="52" t="s">
        <v>129</v>
      </c>
      <c r="F50" s="52"/>
      <c r="G50" s="50"/>
      <c r="K50" s="52"/>
      <c r="L50" s="52"/>
      <c r="M50" s="52" t="s">
        <v>181</v>
      </c>
      <c r="N50" s="52"/>
      <c r="P50" s="52" t="s">
        <v>181</v>
      </c>
      <c r="R50" s="52"/>
      <c r="S50" s="52"/>
    </row>
    <row r="51" spans="3:19" ht="12.75">
      <c r="C51" s="52" t="s">
        <v>174</v>
      </c>
      <c r="D51" s="52"/>
      <c r="E51" s="52" t="s">
        <v>182</v>
      </c>
      <c r="F51" s="52"/>
      <c r="G51" s="50"/>
      <c r="K51" s="52"/>
      <c r="L51" s="52"/>
      <c r="M51" s="52" t="s">
        <v>177</v>
      </c>
      <c r="N51" s="52"/>
      <c r="P51" s="52" t="s">
        <v>188</v>
      </c>
      <c r="R51" s="52"/>
      <c r="S51" s="52"/>
    </row>
    <row r="52" spans="3:19" ht="12.75">
      <c r="C52" s="52" t="s">
        <v>175</v>
      </c>
      <c r="D52" s="52"/>
      <c r="E52" s="52" t="s">
        <v>183</v>
      </c>
      <c r="F52" s="52"/>
      <c r="G52" s="50"/>
      <c r="K52" s="52"/>
      <c r="L52" s="52"/>
      <c r="M52" s="52" t="s">
        <v>178</v>
      </c>
      <c r="N52" s="52"/>
      <c r="P52" s="52" t="s">
        <v>189</v>
      </c>
      <c r="R52" s="52"/>
      <c r="S52" s="52"/>
    </row>
    <row r="53" spans="3:19" ht="12.75">
      <c r="C53" s="52" t="s">
        <v>110</v>
      </c>
      <c r="D53" s="52"/>
      <c r="E53" s="52" t="s">
        <v>184</v>
      </c>
      <c r="F53" s="52"/>
      <c r="G53" s="50"/>
      <c r="K53" s="52"/>
      <c r="L53" s="52"/>
      <c r="M53" s="52" t="s">
        <v>179</v>
      </c>
      <c r="N53" s="52"/>
      <c r="P53" s="52" t="s">
        <v>190</v>
      </c>
      <c r="R53" s="52"/>
      <c r="S53" s="52"/>
    </row>
    <row r="54" spans="3:16" ht="12.75">
      <c r="C54" s="52" t="s">
        <v>106</v>
      </c>
      <c r="D54" s="52"/>
      <c r="E54" s="52" t="s">
        <v>158</v>
      </c>
      <c r="F54" s="52"/>
      <c r="G54" s="50"/>
      <c r="M54" s="52" t="s">
        <v>180</v>
      </c>
      <c r="N54" s="68"/>
      <c r="P54" s="52" t="s">
        <v>180</v>
      </c>
    </row>
    <row r="55" spans="3:7" ht="12.75">
      <c r="C55" s="52" t="s">
        <v>176</v>
      </c>
      <c r="D55" s="52"/>
      <c r="E55" s="52" t="s">
        <v>185</v>
      </c>
      <c r="F55" s="52"/>
      <c r="G55" s="50"/>
    </row>
    <row r="56" spans="6:7" ht="12.75">
      <c r="F56" s="52"/>
      <c r="G56" s="50"/>
    </row>
    <row r="57" spans="3:7" ht="12.75">
      <c r="C57" s="52"/>
      <c r="D57" s="52"/>
      <c r="E57" s="51"/>
      <c r="F57" s="50"/>
      <c r="G57" s="50"/>
    </row>
    <row r="58" spans="3:7" ht="12.75">
      <c r="C58" s="52"/>
      <c r="D58" s="52"/>
      <c r="E58" s="51"/>
      <c r="F58" s="50"/>
      <c r="G58" s="50"/>
    </row>
    <row r="59" spans="3:7" ht="12.75">
      <c r="C59" s="52"/>
      <c r="D59" s="52"/>
      <c r="E59" s="51"/>
      <c r="F59" s="50"/>
      <c r="G59" s="50"/>
    </row>
    <row r="60" spans="3:7" ht="12.75">
      <c r="C60" s="52"/>
      <c r="D60" s="52"/>
      <c r="E60" s="51"/>
      <c r="F60" s="50"/>
      <c r="G60" s="50"/>
    </row>
    <row r="61" spans="3:7" ht="12.75">
      <c r="C61" s="52"/>
      <c r="D61" s="52"/>
      <c r="E61" s="51"/>
      <c r="F61" s="50"/>
      <c r="G61" s="50"/>
    </row>
    <row r="62" spans="5:7" ht="12.75">
      <c r="E62" s="51"/>
      <c r="F62" s="50"/>
      <c r="G62" s="50"/>
    </row>
    <row r="63" spans="5:7" ht="12.75">
      <c r="E63" s="51"/>
      <c r="F63" s="50"/>
      <c r="G63" s="50"/>
    </row>
    <row r="64" spans="5:7" ht="12.75">
      <c r="E64" s="51"/>
      <c r="F64" s="50"/>
      <c r="G64" s="50"/>
    </row>
    <row r="65" spans="5:7" ht="12.75">
      <c r="E65" s="51"/>
      <c r="F65" s="50"/>
      <c r="G65" s="50"/>
    </row>
    <row r="66" spans="5:7" ht="12.75">
      <c r="E66" s="51"/>
      <c r="F66" s="50"/>
      <c r="G66" s="50"/>
    </row>
    <row r="67" spans="5:7" ht="12.75">
      <c r="E67" s="51"/>
      <c r="F67" s="50"/>
      <c r="G67" s="50"/>
    </row>
    <row r="68" spans="5:7" ht="12.75">
      <c r="E68" s="51"/>
      <c r="F68" s="50"/>
      <c r="G68" s="50"/>
    </row>
    <row r="69" spans="5:7" ht="12.75">
      <c r="E69" s="51"/>
      <c r="F69" s="50"/>
      <c r="G69" s="50"/>
    </row>
    <row r="70" spans="5:7" ht="12.75">
      <c r="E70" s="51"/>
      <c r="F70" s="50"/>
      <c r="G70" s="50"/>
    </row>
    <row r="71" spans="5:7" ht="12.75"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3:7" ht="12.75">
      <c r="C76" s="44"/>
      <c r="F76" s="50"/>
      <c r="G76" s="50"/>
    </row>
  </sheetData>
  <sheetProtection/>
  <mergeCells count="3">
    <mergeCell ref="B1:M1"/>
    <mergeCell ref="B3:N3"/>
    <mergeCell ref="B4:D4"/>
  </mergeCells>
  <printOptions/>
  <pageMargins left="0.75" right="0.75" top="1" bottom="1" header="0" footer="0"/>
  <pageSetup fitToHeight="1" fitToWidth="1" horizontalDpi="600" verticalDpi="600" orientation="landscape" paperSize="9" scale="6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="115" zoomScaleNormal="115" workbookViewId="0" topLeftCell="E1">
      <selection activeCell="U53" sqref="U53"/>
    </sheetView>
  </sheetViews>
  <sheetFormatPr defaultColWidth="11.421875" defaultRowHeight="12.75"/>
  <cols>
    <col min="1" max="1" width="2.7109375" style="0" customWidth="1"/>
    <col min="2" max="2" width="43.140625" style="0" customWidth="1"/>
    <col min="3" max="3" width="8.57421875" style="0" customWidth="1"/>
    <col min="4" max="4" width="7.7109375" style="0" customWidth="1"/>
    <col min="5" max="5" width="6.8515625" style="0" customWidth="1"/>
    <col min="6" max="6" width="6.57421875" style="0" customWidth="1"/>
    <col min="7" max="7" width="6.28125" style="0" customWidth="1"/>
    <col min="8" max="8" width="6.421875" style="0" customWidth="1"/>
    <col min="9" max="9" width="6.28125" style="0" customWidth="1"/>
    <col min="10" max="10" width="6.421875" style="0" customWidth="1"/>
    <col min="11" max="11" width="6.28125" style="0" customWidth="1"/>
    <col min="12" max="12" width="6.8515625" style="0" customWidth="1"/>
    <col min="13" max="13" width="5.57421875" style="0" customWidth="1"/>
    <col min="14" max="14" width="6.8515625" style="0" customWidth="1"/>
    <col min="15" max="15" width="7.57421875" style="0" customWidth="1"/>
    <col min="16" max="16" width="14.00390625" style="0" customWidth="1"/>
    <col min="17" max="17" width="8.28125" style="0" customWidth="1"/>
    <col min="18" max="18" width="9.00390625" style="0" customWidth="1"/>
    <col min="19" max="20" width="7.140625" style="0" customWidth="1"/>
    <col min="21" max="21" width="9.7109375" style="0" customWidth="1"/>
    <col min="22" max="22" width="12.28125" style="0" customWidth="1"/>
  </cols>
  <sheetData>
    <row r="1" spans="1:17" ht="18" customHeight="1">
      <c r="A1" s="1"/>
      <c r="B1" s="150" t="s">
        <v>244</v>
      </c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2"/>
      <c r="O1" s="2"/>
      <c r="P1" s="2"/>
      <c r="Q1" s="2"/>
    </row>
    <row r="2" spans="1:17" ht="12.75">
      <c r="A2" s="1"/>
      <c r="B2" s="53" t="s">
        <v>0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148"/>
      <c r="M3" s="148"/>
      <c r="N3" s="148"/>
      <c r="O3" s="2"/>
      <c r="P3" s="2"/>
      <c r="Q3" s="2"/>
    </row>
    <row r="4" spans="1:17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ht="13.5" thickBot="1"/>
    <row r="6" spans="1:23" ht="39" customHeight="1" thickBot="1">
      <c r="A6" s="30"/>
      <c r="B6" s="54" t="s">
        <v>48</v>
      </c>
      <c r="C6" s="55" t="s">
        <v>49</v>
      </c>
      <c r="D6" s="55" t="s">
        <v>156</v>
      </c>
      <c r="E6" s="55" t="s">
        <v>51</v>
      </c>
      <c r="F6" s="123" t="s">
        <v>255</v>
      </c>
      <c r="G6" s="123" t="s">
        <v>256</v>
      </c>
      <c r="H6" s="124" t="s">
        <v>251</v>
      </c>
      <c r="I6" s="124" t="s">
        <v>257</v>
      </c>
      <c r="J6" s="124" t="s">
        <v>250</v>
      </c>
      <c r="K6" s="123" t="s">
        <v>110</v>
      </c>
      <c r="L6" s="123" t="s">
        <v>249</v>
      </c>
      <c r="M6" s="123" t="s">
        <v>252</v>
      </c>
      <c r="N6" s="123" t="s">
        <v>118</v>
      </c>
      <c r="O6" s="124" t="s">
        <v>7</v>
      </c>
      <c r="P6" s="125" t="s">
        <v>253</v>
      </c>
      <c r="Q6" s="123" t="s">
        <v>177</v>
      </c>
      <c r="R6" s="69" t="s">
        <v>27</v>
      </c>
      <c r="S6" s="69" t="s">
        <v>25</v>
      </c>
      <c r="T6" s="55" t="s">
        <v>264</v>
      </c>
      <c r="U6" s="55" t="s">
        <v>263</v>
      </c>
      <c r="V6" s="55" t="s">
        <v>266</v>
      </c>
      <c r="W6" s="56" t="s">
        <v>267</v>
      </c>
    </row>
    <row r="7" spans="1:23" ht="12.75">
      <c r="A7" s="30"/>
      <c r="B7" s="82"/>
      <c r="C7" s="83"/>
      <c r="D7" s="83"/>
      <c r="E7" s="83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7"/>
      <c r="S7" s="7"/>
      <c r="T7" s="7"/>
      <c r="U7" s="49"/>
      <c r="V7" s="49"/>
      <c r="W7" s="130"/>
    </row>
    <row r="8" spans="1:23" ht="12.75">
      <c r="A8" s="30"/>
      <c r="B8" s="73" t="s">
        <v>166</v>
      </c>
      <c r="C8" s="120">
        <v>1</v>
      </c>
      <c r="D8" s="120">
        <v>1</v>
      </c>
      <c r="E8" s="120" t="s">
        <v>39</v>
      </c>
      <c r="F8" s="120">
        <v>39</v>
      </c>
      <c r="G8" s="120">
        <v>62</v>
      </c>
      <c r="H8" s="120">
        <v>81</v>
      </c>
      <c r="I8" s="120">
        <v>0</v>
      </c>
      <c r="J8" s="120">
        <v>39</v>
      </c>
      <c r="K8" s="120">
        <v>0</v>
      </c>
      <c r="L8" s="120">
        <v>48</v>
      </c>
      <c r="M8" s="120">
        <v>1</v>
      </c>
      <c r="N8" s="120">
        <v>0</v>
      </c>
      <c r="O8" s="120">
        <v>32</v>
      </c>
      <c r="P8" s="120">
        <v>1</v>
      </c>
      <c r="Q8" s="120">
        <v>3</v>
      </c>
      <c r="R8" s="121">
        <v>3</v>
      </c>
      <c r="S8" s="121">
        <v>5</v>
      </c>
      <c r="T8" s="121">
        <v>309</v>
      </c>
      <c r="U8" s="81">
        <f aca="true" t="shared" si="0" ref="U8:U51">SUM(F8:S8)</f>
        <v>314</v>
      </c>
      <c r="V8" s="121">
        <v>69.78</v>
      </c>
      <c r="W8" s="131">
        <f aca="true" t="shared" si="1" ref="W8:W51">100-V8</f>
        <v>30.22</v>
      </c>
    </row>
    <row r="9" spans="1:23" ht="12.75">
      <c r="A9" s="30"/>
      <c r="B9" s="73" t="s">
        <v>166</v>
      </c>
      <c r="C9" s="120">
        <v>1</v>
      </c>
      <c r="D9" s="120">
        <v>1</v>
      </c>
      <c r="E9" s="120" t="s">
        <v>40</v>
      </c>
      <c r="F9" s="120">
        <v>39</v>
      </c>
      <c r="G9" s="120">
        <v>69</v>
      </c>
      <c r="H9" s="120">
        <v>75</v>
      </c>
      <c r="I9" s="120">
        <v>0</v>
      </c>
      <c r="J9" s="120">
        <v>39</v>
      </c>
      <c r="K9" s="120">
        <v>0</v>
      </c>
      <c r="L9" s="120">
        <v>60</v>
      </c>
      <c r="M9" s="120">
        <v>15</v>
      </c>
      <c r="N9" s="120">
        <v>0</v>
      </c>
      <c r="O9" s="120">
        <v>41</v>
      </c>
      <c r="P9" s="120">
        <v>2</v>
      </c>
      <c r="Q9" s="120">
        <v>4</v>
      </c>
      <c r="R9" s="121">
        <v>2</v>
      </c>
      <c r="S9" s="121">
        <v>9</v>
      </c>
      <c r="T9" s="121">
        <v>348</v>
      </c>
      <c r="U9" s="81">
        <f t="shared" si="0"/>
        <v>355</v>
      </c>
      <c r="V9" s="23">
        <v>70.28</v>
      </c>
      <c r="W9" s="131">
        <f t="shared" si="1"/>
        <v>29.72</v>
      </c>
    </row>
    <row r="10" spans="1:23" ht="12.75">
      <c r="A10" s="30"/>
      <c r="B10" s="73" t="s">
        <v>167</v>
      </c>
      <c r="C10" s="120">
        <v>1</v>
      </c>
      <c r="D10" s="120">
        <v>2</v>
      </c>
      <c r="E10" s="120" t="s">
        <v>39</v>
      </c>
      <c r="F10" s="120">
        <v>39</v>
      </c>
      <c r="G10" s="120">
        <v>64</v>
      </c>
      <c r="H10" s="120">
        <v>63</v>
      </c>
      <c r="I10" s="120">
        <v>0</v>
      </c>
      <c r="J10" s="120">
        <v>34</v>
      </c>
      <c r="K10" s="120">
        <v>0</v>
      </c>
      <c r="L10" s="120">
        <v>71</v>
      </c>
      <c r="M10" s="120">
        <v>3</v>
      </c>
      <c r="N10" s="120">
        <v>0</v>
      </c>
      <c r="O10" s="120">
        <v>25</v>
      </c>
      <c r="P10" s="120">
        <v>0</v>
      </c>
      <c r="Q10" s="120">
        <v>8</v>
      </c>
      <c r="R10" s="121">
        <v>2</v>
      </c>
      <c r="S10" s="121">
        <v>2</v>
      </c>
      <c r="T10" s="121">
        <v>309</v>
      </c>
      <c r="U10" s="81">
        <f t="shared" si="0"/>
        <v>311</v>
      </c>
      <c r="V10" s="77">
        <v>70.05</v>
      </c>
      <c r="W10" s="137">
        <f t="shared" si="1"/>
        <v>29.950000000000003</v>
      </c>
    </row>
    <row r="11" spans="1:23" ht="12.75">
      <c r="A11" s="30"/>
      <c r="B11" s="73" t="s">
        <v>167</v>
      </c>
      <c r="C11" s="120">
        <v>1</v>
      </c>
      <c r="D11" s="120">
        <v>2</v>
      </c>
      <c r="E11" s="120" t="s">
        <v>40</v>
      </c>
      <c r="F11" s="120">
        <v>38</v>
      </c>
      <c r="G11" s="120">
        <v>55</v>
      </c>
      <c r="H11" s="120">
        <v>89</v>
      </c>
      <c r="I11" s="120">
        <v>0</v>
      </c>
      <c r="J11" s="120">
        <v>29</v>
      </c>
      <c r="K11" s="120">
        <v>0</v>
      </c>
      <c r="L11" s="120">
        <v>76</v>
      </c>
      <c r="M11" s="120">
        <v>9</v>
      </c>
      <c r="N11" s="120">
        <v>1</v>
      </c>
      <c r="O11" s="120">
        <v>28</v>
      </c>
      <c r="P11" s="120">
        <v>1</v>
      </c>
      <c r="Q11" s="120">
        <v>0</v>
      </c>
      <c r="R11" s="121">
        <v>1</v>
      </c>
      <c r="S11" s="121">
        <v>1</v>
      </c>
      <c r="T11" s="121">
        <v>327</v>
      </c>
      <c r="U11" s="81">
        <f t="shared" si="0"/>
        <v>328</v>
      </c>
      <c r="V11" s="77">
        <v>67.49</v>
      </c>
      <c r="W11" s="131">
        <f t="shared" si="1"/>
        <v>32.510000000000005</v>
      </c>
    </row>
    <row r="12" spans="1:23" ht="12.75">
      <c r="A12" s="30"/>
      <c r="B12" s="73" t="s">
        <v>166</v>
      </c>
      <c r="C12" s="120">
        <v>1</v>
      </c>
      <c r="D12" s="120">
        <v>3</v>
      </c>
      <c r="E12" s="120" t="s">
        <v>39</v>
      </c>
      <c r="F12" s="120">
        <v>79</v>
      </c>
      <c r="G12" s="120">
        <v>57</v>
      </c>
      <c r="H12" s="120">
        <v>31</v>
      </c>
      <c r="I12" s="120">
        <v>0</v>
      </c>
      <c r="J12" s="120">
        <v>86</v>
      </c>
      <c r="K12" s="120">
        <v>0</v>
      </c>
      <c r="L12" s="120">
        <v>112</v>
      </c>
      <c r="M12" s="120">
        <v>2</v>
      </c>
      <c r="N12" s="120">
        <v>2</v>
      </c>
      <c r="O12" s="120">
        <v>38</v>
      </c>
      <c r="P12" s="120">
        <v>0</v>
      </c>
      <c r="Q12" s="120">
        <v>7</v>
      </c>
      <c r="R12" s="121">
        <v>0</v>
      </c>
      <c r="S12" s="121">
        <v>1</v>
      </c>
      <c r="T12" s="121">
        <v>412</v>
      </c>
      <c r="U12" s="81">
        <f t="shared" si="0"/>
        <v>415</v>
      </c>
      <c r="V12" s="77">
        <v>68.4</v>
      </c>
      <c r="W12" s="137">
        <f t="shared" si="1"/>
        <v>31.599999999999994</v>
      </c>
    </row>
    <row r="13" spans="1:23" ht="12.75">
      <c r="A13" s="30"/>
      <c r="B13" s="73" t="s">
        <v>166</v>
      </c>
      <c r="C13" s="120">
        <v>1</v>
      </c>
      <c r="D13" s="120">
        <v>3</v>
      </c>
      <c r="E13" s="120" t="s">
        <v>40</v>
      </c>
      <c r="F13" s="120">
        <v>96</v>
      </c>
      <c r="G13" s="120">
        <v>47</v>
      </c>
      <c r="H13" s="120">
        <v>43</v>
      </c>
      <c r="I13" s="120">
        <v>1</v>
      </c>
      <c r="J13" s="120">
        <v>81</v>
      </c>
      <c r="K13" s="120">
        <v>0</v>
      </c>
      <c r="L13" s="120">
        <v>118</v>
      </c>
      <c r="M13" s="120">
        <v>3</v>
      </c>
      <c r="N13" s="120">
        <v>0</v>
      </c>
      <c r="O13" s="120">
        <v>52</v>
      </c>
      <c r="P13" s="120">
        <v>0</v>
      </c>
      <c r="Q13" s="120">
        <v>4</v>
      </c>
      <c r="R13" s="121">
        <v>1</v>
      </c>
      <c r="S13" s="121">
        <v>4</v>
      </c>
      <c r="T13" s="121">
        <v>446</v>
      </c>
      <c r="U13" s="81">
        <f t="shared" si="0"/>
        <v>450</v>
      </c>
      <c r="V13" s="23">
        <v>69.44</v>
      </c>
      <c r="W13" s="131">
        <f t="shared" si="1"/>
        <v>30.560000000000002</v>
      </c>
    </row>
    <row r="14" spans="1:23" ht="12.75">
      <c r="A14" s="30"/>
      <c r="B14" s="73" t="s">
        <v>94</v>
      </c>
      <c r="C14" s="120">
        <v>2</v>
      </c>
      <c r="D14" s="120">
        <v>1</v>
      </c>
      <c r="E14" s="120" t="s">
        <v>39</v>
      </c>
      <c r="F14" s="120">
        <v>34</v>
      </c>
      <c r="G14" s="120">
        <v>52</v>
      </c>
      <c r="H14" s="120">
        <v>50</v>
      </c>
      <c r="I14" s="120">
        <v>2</v>
      </c>
      <c r="J14" s="120">
        <v>29</v>
      </c>
      <c r="K14" s="120">
        <v>0</v>
      </c>
      <c r="L14" s="120">
        <v>63</v>
      </c>
      <c r="M14" s="120">
        <v>6</v>
      </c>
      <c r="N14" s="120">
        <v>0</v>
      </c>
      <c r="O14" s="120">
        <v>21</v>
      </c>
      <c r="P14" s="120">
        <v>1</v>
      </c>
      <c r="Q14" s="120">
        <v>2</v>
      </c>
      <c r="R14" s="121">
        <v>3</v>
      </c>
      <c r="S14" s="121">
        <v>2</v>
      </c>
      <c r="T14" s="121">
        <v>263</v>
      </c>
      <c r="U14" s="81">
        <f t="shared" si="0"/>
        <v>265</v>
      </c>
      <c r="V14" s="23">
        <v>66.58</v>
      </c>
      <c r="W14" s="131">
        <f t="shared" si="1"/>
        <v>33.42</v>
      </c>
    </row>
    <row r="15" spans="1:23" ht="12.75">
      <c r="A15" s="30"/>
      <c r="B15" s="73" t="s">
        <v>94</v>
      </c>
      <c r="C15" s="120">
        <v>2</v>
      </c>
      <c r="D15" s="120">
        <v>1</v>
      </c>
      <c r="E15" s="120" t="s">
        <v>40</v>
      </c>
      <c r="F15" s="120">
        <v>53</v>
      </c>
      <c r="G15" s="120">
        <v>47</v>
      </c>
      <c r="H15" s="120">
        <v>52</v>
      </c>
      <c r="I15" s="120">
        <v>1</v>
      </c>
      <c r="J15" s="120">
        <v>27</v>
      </c>
      <c r="K15" s="120">
        <v>1</v>
      </c>
      <c r="L15" s="120">
        <v>47</v>
      </c>
      <c r="M15" s="120">
        <v>7</v>
      </c>
      <c r="N15" s="120">
        <v>0</v>
      </c>
      <c r="O15" s="120">
        <v>20</v>
      </c>
      <c r="P15" s="120">
        <v>2</v>
      </c>
      <c r="Q15" s="120">
        <v>6</v>
      </c>
      <c r="R15" s="121">
        <v>1</v>
      </c>
      <c r="S15" s="121">
        <v>4</v>
      </c>
      <c r="T15" s="121">
        <v>264</v>
      </c>
      <c r="U15" s="81">
        <f t="shared" si="0"/>
        <v>268</v>
      </c>
      <c r="V15" s="23">
        <v>68.89</v>
      </c>
      <c r="W15" s="131">
        <f t="shared" si="1"/>
        <v>31.11</v>
      </c>
    </row>
    <row r="16" spans="1:23" ht="12.75">
      <c r="A16" s="30"/>
      <c r="B16" s="73" t="s">
        <v>94</v>
      </c>
      <c r="C16" s="120">
        <v>2</v>
      </c>
      <c r="D16" s="120">
        <v>2</v>
      </c>
      <c r="E16" s="120" t="s">
        <v>39</v>
      </c>
      <c r="F16" s="120">
        <v>73</v>
      </c>
      <c r="G16" s="120">
        <v>45</v>
      </c>
      <c r="H16" s="120">
        <v>44</v>
      </c>
      <c r="I16" s="120">
        <v>1</v>
      </c>
      <c r="J16" s="120">
        <v>55</v>
      </c>
      <c r="K16" s="120">
        <v>2</v>
      </c>
      <c r="L16" s="120">
        <v>80</v>
      </c>
      <c r="M16" s="120">
        <v>7</v>
      </c>
      <c r="N16" s="120">
        <v>0</v>
      </c>
      <c r="O16" s="120">
        <v>45</v>
      </c>
      <c r="P16" s="120">
        <v>1</v>
      </c>
      <c r="Q16" s="120">
        <v>2</v>
      </c>
      <c r="R16" s="121">
        <v>1</v>
      </c>
      <c r="S16" s="121">
        <v>2</v>
      </c>
      <c r="T16" s="121">
        <v>356</v>
      </c>
      <c r="U16" s="81">
        <f t="shared" si="0"/>
        <v>358</v>
      </c>
      <c r="V16" s="23">
        <v>56.29</v>
      </c>
      <c r="W16" s="131">
        <f t="shared" si="1"/>
        <v>43.71</v>
      </c>
    </row>
    <row r="17" spans="1:23" ht="12.75">
      <c r="A17" s="30"/>
      <c r="B17" s="73" t="s">
        <v>94</v>
      </c>
      <c r="C17" s="120">
        <v>2</v>
      </c>
      <c r="D17" s="120">
        <v>2</v>
      </c>
      <c r="E17" s="120" t="s">
        <v>40</v>
      </c>
      <c r="F17" s="120">
        <v>77</v>
      </c>
      <c r="G17" s="120">
        <v>73</v>
      </c>
      <c r="H17" s="120">
        <v>76</v>
      </c>
      <c r="I17" s="120">
        <v>0</v>
      </c>
      <c r="J17" s="120">
        <v>44</v>
      </c>
      <c r="K17" s="120">
        <v>1</v>
      </c>
      <c r="L17" s="120">
        <v>102</v>
      </c>
      <c r="M17" s="120">
        <v>10</v>
      </c>
      <c r="N17" s="120">
        <v>0</v>
      </c>
      <c r="O17" s="120">
        <v>39</v>
      </c>
      <c r="P17" s="120">
        <v>1</v>
      </c>
      <c r="Q17" s="120">
        <v>6</v>
      </c>
      <c r="R17" s="121">
        <v>0</v>
      </c>
      <c r="S17" s="121">
        <v>5</v>
      </c>
      <c r="T17" s="121">
        <v>429</v>
      </c>
      <c r="U17" s="81">
        <f t="shared" si="0"/>
        <v>434</v>
      </c>
      <c r="V17" s="23">
        <v>62.27</v>
      </c>
      <c r="W17" s="131">
        <f t="shared" si="1"/>
        <v>37.73</v>
      </c>
    </row>
    <row r="18" spans="2:23" ht="12.75">
      <c r="B18" s="73" t="s">
        <v>245</v>
      </c>
      <c r="C18" s="121">
        <v>2</v>
      </c>
      <c r="D18" s="121">
        <v>3</v>
      </c>
      <c r="E18" s="122" t="s">
        <v>39</v>
      </c>
      <c r="F18" s="126">
        <v>57</v>
      </c>
      <c r="G18" s="126">
        <v>47</v>
      </c>
      <c r="H18" s="126">
        <v>34</v>
      </c>
      <c r="I18" s="126">
        <v>0</v>
      </c>
      <c r="J18" s="126">
        <v>46</v>
      </c>
      <c r="K18" s="126">
        <v>2</v>
      </c>
      <c r="L18" s="126">
        <v>91</v>
      </c>
      <c r="M18" s="126">
        <v>2</v>
      </c>
      <c r="N18" s="126">
        <v>2</v>
      </c>
      <c r="O18" s="126">
        <v>47</v>
      </c>
      <c r="P18" s="126">
        <v>1</v>
      </c>
      <c r="Q18" s="126">
        <v>5</v>
      </c>
      <c r="R18" s="126">
        <v>2</v>
      </c>
      <c r="S18" s="126">
        <v>2</v>
      </c>
      <c r="T18" s="126">
        <v>336</v>
      </c>
      <c r="U18" s="81">
        <f t="shared" si="0"/>
        <v>338</v>
      </c>
      <c r="V18" s="23">
        <v>65.13</v>
      </c>
      <c r="W18" s="131">
        <f t="shared" si="1"/>
        <v>34.870000000000005</v>
      </c>
    </row>
    <row r="19" spans="2:23" ht="12.75">
      <c r="B19" s="73" t="s">
        <v>245</v>
      </c>
      <c r="C19" s="121">
        <v>2</v>
      </c>
      <c r="D19" s="121">
        <v>3</v>
      </c>
      <c r="E19" s="122" t="s">
        <v>40</v>
      </c>
      <c r="F19" s="126">
        <v>69</v>
      </c>
      <c r="G19" s="126">
        <v>38</v>
      </c>
      <c r="H19" s="126">
        <v>25</v>
      </c>
      <c r="I19" s="126">
        <v>0</v>
      </c>
      <c r="J19" s="126">
        <v>66</v>
      </c>
      <c r="K19" s="126">
        <v>0</v>
      </c>
      <c r="L19" s="126">
        <v>96</v>
      </c>
      <c r="M19" s="126">
        <v>1</v>
      </c>
      <c r="N19" s="126">
        <v>1</v>
      </c>
      <c r="O19" s="126">
        <v>49</v>
      </c>
      <c r="P19" s="126">
        <v>0</v>
      </c>
      <c r="Q19" s="126">
        <v>5</v>
      </c>
      <c r="R19" s="127">
        <v>4</v>
      </c>
      <c r="S19" s="127">
        <v>0</v>
      </c>
      <c r="T19" s="127">
        <v>354</v>
      </c>
      <c r="U19" s="81">
        <f t="shared" si="0"/>
        <v>354</v>
      </c>
      <c r="V19" s="77">
        <v>63.1</v>
      </c>
      <c r="W19" s="137">
        <f t="shared" si="1"/>
        <v>36.9</v>
      </c>
    </row>
    <row r="20" spans="2:23" ht="12.75">
      <c r="B20" s="73" t="s">
        <v>245</v>
      </c>
      <c r="C20" s="122">
        <v>2</v>
      </c>
      <c r="D20" s="122">
        <v>3</v>
      </c>
      <c r="E20" s="122" t="s">
        <v>92</v>
      </c>
      <c r="F20" s="126">
        <v>73</v>
      </c>
      <c r="G20" s="126">
        <v>41</v>
      </c>
      <c r="H20" s="126">
        <v>28</v>
      </c>
      <c r="I20" s="126">
        <v>0</v>
      </c>
      <c r="J20" s="126">
        <v>49</v>
      </c>
      <c r="K20" s="126">
        <v>0</v>
      </c>
      <c r="L20" s="126">
        <v>92</v>
      </c>
      <c r="M20" s="126">
        <v>5</v>
      </c>
      <c r="N20" s="126">
        <v>1</v>
      </c>
      <c r="O20" s="126">
        <v>44</v>
      </c>
      <c r="P20" s="126">
        <v>1</v>
      </c>
      <c r="Q20" s="126">
        <v>4</v>
      </c>
      <c r="R20" s="127">
        <v>0</v>
      </c>
      <c r="S20" s="127">
        <v>6</v>
      </c>
      <c r="T20" s="127">
        <v>338</v>
      </c>
      <c r="U20" s="81">
        <f t="shared" si="0"/>
        <v>344</v>
      </c>
      <c r="V20" s="23">
        <v>63.59</v>
      </c>
      <c r="W20" s="131">
        <f t="shared" si="1"/>
        <v>36.41</v>
      </c>
    </row>
    <row r="21" spans="2:23" ht="12.75">
      <c r="B21" s="73" t="s">
        <v>168</v>
      </c>
      <c r="C21" s="122">
        <v>2</v>
      </c>
      <c r="D21" s="122">
        <v>4</v>
      </c>
      <c r="E21" s="122" t="s">
        <v>39</v>
      </c>
      <c r="F21" s="126">
        <v>67</v>
      </c>
      <c r="G21" s="126">
        <v>47</v>
      </c>
      <c r="H21" s="126">
        <v>44</v>
      </c>
      <c r="I21" s="126">
        <v>0</v>
      </c>
      <c r="J21" s="126">
        <v>87</v>
      </c>
      <c r="K21" s="126">
        <v>1</v>
      </c>
      <c r="L21" s="126">
        <v>155</v>
      </c>
      <c r="M21" s="126">
        <v>1</v>
      </c>
      <c r="N21" s="126">
        <v>3</v>
      </c>
      <c r="O21" s="126">
        <v>56</v>
      </c>
      <c r="P21" s="126">
        <v>3</v>
      </c>
      <c r="Q21" s="126">
        <v>6</v>
      </c>
      <c r="R21" s="126">
        <v>3</v>
      </c>
      <c r="S21" s="127">
        <v>9</v>
      </c>
      <c r="T21" s="127">
        <v>473</v>
      </c>
      <c r="U21" s="81">
        <f t="shared" si="0"/>
        <v>482</v>
      </c>
      <c r="V21" s="23">
        <v>60.86</v>
      </c>
      <c r="W21" s="131">
        <f t="shared" si="1"/>
        <v>39.14</v>
      </c>
    </row>
    <row r="22" spans="2:23" ht="12.75">
      <c r="B22" s="73" t="s">
        <v>168</v>
      </c>
      <c r="C22" s="121">
        <v>2</v>
      </c>
      <c r="D22" s="121">
        <v>4</v>
      </c>
      <c r="E22" s="122" t="s">
        <v>40</v>
      </c>
      <c r="F22" s="126">
        <v>74</v>
      </c>
      <c r="G22" s="126">
        <v>49</v>
      </c>
      <c r="H22" s="126">
        <v>44</v>
      </c>
      <c r="I22" s="126">
        <v>0</v>
      </c>
      <c r="J22" s="126">
        <v>86</v>
      </c>
      <c r="K22" s="126">
        <v>2</v>
      </c>
      <c r="L22" s="126">
        <v>145</v>
      </c>
      <c r="M22" s="126">
        <v>3</v>
      </c>
      <c r="N22" s="126">
        <v>2</v>
      </c>
      <c r="O22" s="126">
        <v>54</v>
      </c>
      <c r="P22" s="126">
        <v>2</v>
      </c>
      <c r="Q22" s="126">
        <v>8</v>
      </c>
      <c r="R22" s="126">
        <v>2</v>
      </c>
      <c r="S22" s="127">
        <v>6</v>
      </c>
      <c r="T22" s="127">
        <v>471</v>
      </c>
      <c r="U22" s="81">
        <f t="shared" si="0"/>
        <v>477</v>
      </c>
      <c r="V22" s="23">
        <v>61.71</v>
      </c>
      <c r="W22" s="131">
        <f t="shared" si="1"/>
        <v>38.29</v>
      </c>
    </row>
    <row r="23" spans="2:23" ht="12.75">
      <c r="B23" s="73" t="s">
        <v>168</v>
      </c>
      <c r="C23" s="121">
        <v>2</v>
      </c>
      <c r="D23" s="121">
        <v>5</v>
      </c>
      <c r="E23" s="122" t="s">
        <v>39</v>
      </c>
      <c r="F23" s="126">
        <v>61</v>
      </c>
      <c r="G23" s="126">
        <v>32</v>
      </c>
      <c r="H23" s="126">
        <v>31</v>
      </c>
      <c r="I23" s="126">
        <v>1</v>
      </c>
      <c r="J23" s="126">
        <v>69</v>
      </c>
      <c r="K23" s="126">
        <v>0</v>
      </c>
      <c r="L23" s="126">
        <v>122</v>
      </c>
      <c r="M23" s="126">
        <v>5</v>
      </c>
      <c r="N23" s="126">
        <v>1</v>
      </c>
      <c r="O23" s="126">
        <v>63</v>
      </c>
      <c r="P23" s="126">
        <v>2</v>
      </c>
      <c r="Q23" s="126">
        <v>8</v>
      </c>
      <c r="R23" s="127">
        <v>1</v>
      </c>
      <c r="S23" s="127">
        <v>0</v>
      </c>
      <c r="T23" s="127">
        <v>396</v>
      </c>
      <c r="U23" s="81">
        <f t="shared" si="0"/>
        <v>396</v>
      </c>
      <c r="V23" s="23">
        <v>67.81</v>
      </c>
      <c r="W23" s="131">
        <f t="shared" si="1"/>
        <v>32.19</v>
      </c>
    </row>
    <row r="24" spans="2:23" ht="12.75">
      <c r="B24" s="73" t="s">
        <v>168</v>
      </c>
      <c r="C24" s="121">
        <v>2</v>
      </c>
      <c r="D24" s="121">
        <v>5</v>
      </c>
      <c r="E24" s="122" t="s">
        <v>40</v>
      </c>
      <c r="F24" s="126">
        <v>97</v>
      </c>
      <c r="G24" s="126">
        <v>33</v>
      </c>
      <c r="H24" s="126">
        <v>22</v>
      </c>
      <c r="I24" s="126">
        <v>0</v>
      </c>
      <c r="J24" s="126">
        <v>80</v>
      </c>
      <c r="K24" s="126">
        <v>1</v>
      </c>
      <c r="L24" s="126">
        <v>107</v>
      </c>
      <c r="M24" s="126">
        <v>5</v>
      </c>
      <c r="N24" s="126">
        <v>0</v>
      </c>
      <c r="O24" s="126">
        <v>74</v>
      </c>
      <c r="P24" s="126">
        <v>0</v>
      </c>
      <c r="Q24" s="126">
        <v>2</v>
      </c>
      <c r="R24" s="127">
        <v>1</v>
      </c>
      <c r="S24" s="127">
        <v>3</v>
      </c>
      <c r="T24" s="127">
        <v>422</v>
      </c>
      <c r="U24" s="81">
        <f t="shared" si="0"/>
        <v>425</v>
      </c>
      <c r="V24" s="23">
        <v>70.36</v>
      </c>
      <c r="W24" s="131">
        <f t="shared" si="1"/>
        <v>29.64</v>
      </c>
    </row>
    <row r="25" spans="2:23" ht="12.75">
      <c r="B25" s="73" t="s">
        <v>168</v>
      </c>
      <c r="C25" s="121">
        <v>2</v>
      </c>
      <c r="D25" s="121">
        <v>5</v>
      </c>
      <c r="E25" s="122" t="s">
        <v>92</v>
      </c>
      <c r="F25" s="126">
        <v>82</v>
      </c>
      <c r="G25" s="126">
        <v>48</v>
      </c>
      <c r="H25" s="126">
        <v>23</v>
      </c>
      <c r="I25" s="126">
        <v>0</v>
      </c>
      <c r="J25" s="126">
        <v>96</v>
      </c>
      <c r="K25" s="126">
        <v>0</v>
      </c>
      <c r="L25" s="126">
        <v>113</v>
      </c>
      <c r="M25" s="126">
        <v>3</v>
      </c>
      <c r="N25" s="126">
        <v>0</v>
      </c>
      <c r="O25" s="126">
        <v>62</v>
      </c>
      <c r="P25" s="126">
        <v>1</v>
      </c>
      <c r="Q25" s="126">
        <v>6</v>
      </c>
      <c r="R25" s="127">
        <v>2</v>
      </c>
      <c r="S25" s="127">
        <v>1</v>
      </c>
      <c r="T25" s="127">
        <v>436</v>
      </c>
      <c r="U25" s="81">
        <f t="shared" si="0"/>
        <v>437</v>
      </c>
      <c r="V25" s="23">
        <v>66.92</v>
      </c>
      <c r="W25" s="131">
        <f t="shared" si="1"/>
        <v>33.08</v>
      </c>
    </row>
    <row r="26" spans="2:23" ht="12.75">
      <c r="B26" s="73" t="s">
        <v>97</v>
      </c>
      <c r="C26" s="121">
        <v>3</v>
      </c>
      <c r="D26" s="121">
        <v>1</v>
      </c>
      <c r="E26" s="122" t="s">
        <v>39</v>
      </c>
      <c r="F26" s="126">
        <v>63</v>
      </c>
      <c r="G26" s="126">
        <v>66</v>
      </c>
      <c r="H26" s="126">
        <v>47</v>
      </c>
      <c r="I26" s="126">
        <v>0</v>
      </c>
      <c r="J26" s="126">
        <v>55</v>
      </c>
      <c r="K26" s="126">
        <v>1</v>
      </c>
      <c r="L26" s="126">
        <v>82</v>
      </c>
      <c r="M26" s="126">
        <v>3</v>
      </c>
      <c r="N26" s="126">
        <v>1</v>
      </c>
      <c r="O26" s="126">
        <v>43</v>
      </c>
      <c r="P26" s="126">
        <v>0</v>
      </c>
      <c r="Q26" s="126">
        <v>3</v>
      </c>
      <c r="R26" s="127">
        <v>2</v>
      </c>
      <c r="S26" s="127">
        <v>4</v>
      </c>
      <c r="T26" s="127">
        <v>366</v>
      </c>
      <c r="U26" s="81">
        <f t="shared" si="0"/>
        <v>370</v>
      </c>
      <c r="V26" s="23">
        <v>68.27</v>
      </c>
      <c r="W26" s="131">
        <f t="shared" si="1"/>
        <v>31.730000000000004</v>
      </c>
    </row>
    <row r="27" spans="2:23" ht="12.75">
      <c r="B27" s="73" t="s">
        <v>97</v>
      </c>
      <c r="C27" s="121">
        <v>3</v>
      </c>
      <c r="D27" s="121">
        <v>1</v>
      </c>
      <c r="E27" s="122" t="s">
        <v>40</v>
      </c>
      <c r="F27" s="126">
        <v>86</v>
      </c>
      <c r="G27" s="126">
        <v>75</v>
      </c>
      <c r="H27" s="126">
        <v>49</v>
      </c>
      <c r="I27" s="126">
        <v>0</v>
      </c>
      <c r="J27" s="126">
        <v>59</v>
      </c>
      <c r="K27" s="126">
        <v>0</v>
      </c>
      <c r="L27" s="126">
        <v>96</v>
      </c>
      <c r="M27" s="126">
        <v>4</v>
      </c>
      <c r="N27" s="126">
        <v>1</v>
      </c>
      <c r="O27" s="126">
        <v>44</v>
      </c>
      <c r="P27" s="126">
        <v>2</v>
      </c>
      <c r="Q27" s="126">
        <v>6</v>
      </c>
      <c r="R27" s="127">
        <v>3</v>
      </c>
      <c r="S27" s="127">
        <v>2</v>
      </c>
      <c r="T27" s="127">
        <v>425</v>
      </c>
      <c r="U27" s="81">
        <f t="shared" si="0"/>
        <v>427</v>
      </c>
      <c r="V27" s="23">
        <v>74.39</v>
      </c>
      <c r="W27" s="131">
        <f t="shared" si="1"/>
        <v>25.61</v>
      </c>
    </row>
    <row r="28" spans="2:23" ht="12.75">
      <c r="B28" s="73" t="s">
        <v>98</v>
      </c>
      <c r="C28" s="121">
        <v>3</v>
      </c>
      <c r="D28" s="121">
        <v>2</v>
      </c>
      <c r="E28" s="122" t="s">
        <v>39</v>
      </c>
      <c r="F28" s="126">
        <v>90</v>
      </c>
      <c r="G28" s="126">
        <v>40</v>
      </c>
      <c r="H28" s="126">
        <v>40</v>
      </c>
      <c r="I28" s="126">
        <v>1</v>
      </c>
      <c r="J28" s="126">
        <v>91</v>
      </c>
      <c r="K28" s="126">
        <v>1</v>
      </c>
      <c r="L28" s="126">
        <v>148</v>
      </c>
      <c r="M28" s="126">
        <v>9</v>
      </c>
      <c r="N28" s="126">
        <v>3</v>
      </c>
      <c r="O28" s="126">
        <v>64</v>
      </c>
      <c r="P28" s="126">
        <v>2</v>
      </c>
      <c r="Q28" s="126">
        <v>9</v>
      </c>
      <c r="R28" s="126">
        <v>1</v>
      </c>
      <c r="S28" s="126">
        <v>4</v>
      </c>
      <c r="T28" s="126">
        <v>499</v>
      </c>
      <c r="U28" s="81">
        <f t="shared" si="0"/>
        <v>503</v>
      </c>
      <c r="V28" s="23">
        <v>65.67</v>
      </c>
      <c r="W28" s="131">
        <f t="shared" si="1"/>
        <v>34.33</v>
      </c>
    </row>
    <row r="29" spans="2:23" ht="12.75">
      <c r="B29" s="73" t="s">
        <v>98</v>
      </c>
      <c r="C29" s="121">
        <v>3</v>
      </c>
      <c r="D29" s="121">
        <v>2</v>
      </c>
      <c r="E29" s="122" t="s">
        <v>40</v>
      </c>
      <c r="F29" s="126">
        <v>87</v>
      </c>
      <c r="G29" s="126">
        <v>70</v>
      </c>
      <c r="H29" s="126">
        <v>42</v>
      </c>
      <c r="I29" s="126">
        <v>0</v>
      </c>
      <c r="J29" s="126">
        <v>83</v>
      </c>
      <c r="K29" s="126">
        <v>3</v>
      </c>
      <c r="L29" s="126">
        <v>135</v>
      </c>
      <c r="M29" s="126">
        <v>6</v>
      </c>
      <c r="N29" s="126">
        <v>1</v>
      </c>
      <c r="O29" s="126">
        <v>66</v>
      </c>
      <c r="P29" s="126">
        <v>1</v>
      </c>
      <c r="Q29" s="126">
        <v>3</v>
      </c>
      <c r="R29" s="127">
        <v>3</v>
      </c>
      <c r="S29" s="127">
        <v>7</v>
      </c>
      <c r="T29" s="127">
        <v>500</v>
      </c>
      <c r="U29" s="81">
        <f t="shared" si="0"/>
        <v>507</v>
      </c>
      <c r="V29" s="23">
        <v>66.97</v>
      </c>
      <c r="W29" s="131">
        <f t="shared" si="1"/>
        <v>33.03</v>
      </c>
    </row>
    <row r="30" spans="2:23" ht="12.75">
      <c r="B30" s="73" t="s">
        <v>170</v>
      </c>
      <c r="C30" s="121">
        <v>3</v>
      </c>
      <c r="D30" s="121">
        <v>3</v>
      </c>
      <c r="E30" s="122" t="s">
        <v>39</v>
      </c>
      <c r="F30" s="126">
        <v>72</v>
      </c>
      <c r="G30" s="126">
        <v>41</v>
      </c>
      <c r="H30" s="126">
        <v>53</v>
      </c>
      <c r="I30" s="126">
        <v>0</v>
      </c>
      <c r="J30" s="126">
        <v>62</v>
      </c>
      <c r="K30" s="126">
        <v>0</v>
      </c>
      <c r="L30" s="126">
        <v>98</v>
      </c>
      <c r="M30" s="126">
        <v>12</v>
      </c>
      <c r="N30" s="126">
        <v>0</v>
      </c>
      <c r="O30" s="126">
        <v>65</v>
      </c>
      <c r="P30" s="126">
        <v>0</v>
      </c>
      <c r="Q30" s="126">
        <v>6</v>
      </c>
      <c r="R30" s="127">
        <v>2</v>
      </c>
      <c r="S30" s="127">
        <v>4</v>
      </c>
      <c r="T30" s="127">
        <v>411</v>
      </c>
      <c r="U30" s="81">
        <f t="shared" si="0"/>
        <v>415</v>
      </c>
      <c r="V30" s="23">
        <v>62.59</v>
      </c>
      <c r="W30" s="131">
        <f t="shared" si="1"/>
        <v>37.41</v>
      </c>
    </row>
    <row r="31" spans="2:23" ht="12.75">
      <c r="B31" s="73" t="s">
        <v>170</v>
      </c>
      <c r="C31" s="121">
        <v>3</v>
      </c>
      <c r="D31" s="121">
        <v>3</v>
      </c>
      <c r="E31" s="121" t="s">
        <v>40</v>
      </c>
      <c r="F31" s="126">
        <v>64</v>
      </c>
      <c r="G31" s="126">
        <v>49</v>
      </c>
      <c r="H31" s="126">
        <v>62</v>
      </c>
      <c r="I31" s="126">
        <v>1</v>
      </c>
      <c r="J31" s="126">
        <v>62</v>
      </c>
      <c r="K31" s="126">
        <v>0</v>
      </c>
      <c r="L31" s="126">
        <v>87</v>
      </c>
      <c r="M31" s="126">
        <v>10</v>
      </c>
      <c r="N31" s="126">
        <v>0</v>
      </c>
      <c r="O31" s="126">
        <v>63</v>
      </c>
      <c r="P31" s="126">
        <v>1</v>
      </c>
      <c r="Q31" s="126">
        <v>1</v>
      </c>
      <c r="R31" s="127">
        <v>1</v>
      </c>
      <c r="S31" s="127">
        <v>2</v>
      </c>
      <c r="T31" s="127">
        <v>401</v>
      </c>
      <c r="U31" s="81">
        <f t="shared" si="0"/>
        <v>403</v>
      </c>
      <c r="V31" s="23">
        <v>65.53</v>
      </c>
      <c r="W31" s="131">
        <f t="shared" si="1"/>
        <v>34.47</v>
      </c>
    </row>
    <row r="32" spans="2:23" ht="12.75">
      <c r="B32" s="73" t="s">
        <v>246</v>
      </c>
      <c r="C32" s="121">
        <v>3</v>
      </c>
      <c r="D32" s="121">
        <v>4</v>
      </c>
      <c r="E32" s="121" t="s">
        <v>39</v>
      </c>
      <c r="F32" s="126">
        <v>93</v>
      </c>
      <c r="G32" s="126">
        <v>45</v>
      </c>
      <c r="H32" s="126">
        <v>28</v>
      </c>
      <c r="I32" s="126">
        <v>1</v>
      </c>
      <c r="J32" s="126">
        <v>82</v>
      </c>
      <c r="K32" s="126">
        <v>1</v>
      </c>
      <c r="L32" s="126">
        <v>103</v>
      </c>
      <c r="M32" s="126">
        <v>3</v>
      </c>
      <c r="N32" s="126">
        <v>1</v>
      </c>
      <c r="O32" s="126">
        <v>37</v>
      </c>
      <c r="P32" s="126">
        <v>0</v>
      </c>
      <c r="Q32" s="126">
        <v>1</v>
      </c>
      <c r="R32" s="126">
        <v>4</v>
      </c>
      <c r="S32" s="126">
        <v>7</v>
      </c>
      <c r="T32" s="126">
        <v>399</v>
      </c>
      <c r="U32" s="81">
        <f t="shared" si="0"/>
        <v>406</v>
      </c>
      <c r="V32" s="23">
        <v>67.11</v>
      </c>
      <c r="W32" s="131">
        <f t="shared" si="1"/>
        <v>32.89</v>
      </c>
    </row>
    <row r="33" spans="2:23" ht="12.75">
      <c r="B33" s="73" t="s">
        <v>246</v>
      </c>
      <c r="C33" s="121">
        <v>3</v>
      </c>
      <c r="D33" s="121">
        <v>4</v>
      </c>
      <c r="E33" s="122" t="s">
        <v>40</v>
      </c>
      <c r="F33" s="126">
        <v>92</v>
      </c>
      <c r="G33" s="126">
        <v>38</v>
      </c>
      <c r="H33" s="126">
        <v>33</v>
      </c>
      <c r="I33" s="126">
        <v>1</v>
      </c>
      <c r="J33" s="126">
        <v>77</v>
      </c>
      <c r="K33" s="126">
        <v>2</v>
      </c>
      <c r="L33" s="126">
        <v>125</v>
      </c>
      <c r="M33" s="126">
        <v>3</v>
      </c>
      <c r="N33" s="126">
        <v>1</v>
      </c>
      <c r="O33" s="126">
        <v>44</v>
      </c>
      <c r="P33" s="126">
        <v>0</v>
      </c>
      <c r="Q33" s="126">
        <v>9</v>
      </c>
      <c r="R33" s="126">
        <v>2</v>
      </c>
      <c r="S33" s="126">
        <v>9</v>
      </c>
      <c r="T33" s="126">
        <v>427</v>
      </c>
      <c r="U33" s="81">
        <f t="shared" si="0"/>
        <v>436</v>
      </c>
      <c r="V33" s="23">
        <v>71.01</v>
      </c>
      <c r="W33" s="131">
        <f t="shared" si="1"/>
        <v>28.989999999999995</v>
      </c>
    </row>
    <row r="34" spans="2:23" ht="12.75">
      <c r="B34" s="73" t="s">
        <v>247</v>
      </c>
      <c r="C34" s="121">
        <v>3</v>
      </c>
      <c r="D34" s="121">
        <v>5</v>
      </c>
      <c r="E34" s="122" t="s">
        <v>39</v>
      </c>
      <c r="F34" s="126">
        <v>47</v>
      </c>
      <c r="G34" s="126">
        <v>49</v>
      </c>
      <c r="H34" s="126">
        <v>47</v>
      </c>
      <c r="I34" s="126">
        <v>0</v>
      </c>
      <c r="J34" s="126">
        <v>56</v>
      </c>
      <c r="K34" s="126">
        <v>0</v>
      </c>
      <c r="L34" s="126">
        <v>82</v>
      </c>
      <c r="M34" s="126">
        <v>2</v>
      </c>
      <c r="N34" s="126">
        <v>0</v>
      </c>
      <c r="O34" s="126">
        <v>25</v>
      </c>
      <c r="P34" s="126">
        <v>0</v>
      </c>
      <c r="Q34" s="126">
        <v>5</v>
      </c>
      <c r="R34" s="126">
        <v>0</v>
      </c>
      <c r="S34" s="126">
        <v>5</v>
      </c>
      <c r="T34" s="126">
        <v>313</v>
      </c>
      <c r="U34" s="81">
        <f t="shared" si="0"/>
        <v>318</v>
      </c>
      <c r="V34" s="23">
        <v>69.13</v>
      </c>
      <c r="W34" s="131">
        <f t="shared" si="1"/>
        <v>30.870000000000005</v>
      </c>
    </row>
    <row r="35" spans="2:23" ht="12.75">
      <c r="B35" s="73" t="s">
        <v>247</v>
      </c>
      <c r="C35" s="121">
        <v>3</v>
      </c>
      <c r="D35" s="121">
        <v>5</v>
      </c>
      <c r="E35" s="122" t="s">
        <v>40</v>
      </c>
      <c r="F35" s="126">
        <v>64</v>
      </c>
      <c r="G35" s="126">
        <v>54</v>
      </c>
      <c r="H35" s="126">
        <v>47</v>
      </c>
      <c r="I35" s="126">
        <v>0</v>
      </c>
      <c r="J35" s="126">
        <v>52</v>
      </c>
      <c r="K35" s="126">
        <v>1</v>
      </c>
      <c r="L35" s="126">
        <v>67</v>
      </c>
      <c r="M35" s="126">
        <v>4</v>
      </c>
      <c r="N35" s="126">
        <v>0</v>
      </c>
      <c r="O35" s="126">
        <v>24</v>
      </c>
      <c r="P35" s="126">
        <v>1</v>
      </c>
      <c r="Q35" s="126">
        <v>0</v>
      </c>
      <c r="R35" s="126">
        <v>3</v>
      </c>
      <c r="S35" s="126">
        <v>2</v>
      </c>
      <c r="T35" s="126">
        <v>317</v>
      </c>
      <c r="U35" s="81">
        <f t="shared" si="0"/>
        <v>319</v>
      </c>
      <c r="V35" s="77">
        <v>69.8</v>
      </c>
      <c r="W35" s="137">
        <f t="shared" si="1"/>
        <v>30.200000000000003</v>
      </c>
    </row>
    <row r="36" spans="2:23" ht="12.75">
      <c r="B36" s="73" t="s">
        <v>98</v>
      </c>
      <c r="C36" s="121">
        <v>3</v>
      </c>
      <c r="D36" s="121">
        <v>6</v>
      </c>
      <c r="E36" s="122" t="s">
        <v>39</v>
      </c>
      <c r="F36" s="126">
        <v>85</v>
      </c>
      <c r="G36" s="126">
        <v>100</v>
      </c>
      <c r="H36" s="126">
        <v>76</v>
      </c>
      <c r="I36" s="126">
        <v>1</v>
      </c>
      <c r="J36" s="126">
        <v>67</v>
      </c>
      <c r="K36" s="126">
        <v>0</v>
      </c>
      <c r="L36" s="126">
        <v>96</v>
      </c>
      <c r="M36" s="126">
        <v>7</v>
      </c>
      <c r="N36" s="126">
        <v>2</v>
      </c>
      <c r="O36" s="126">
        <v>62</v>
      </c>
      <c r="P36" s="126">
        <v>0</v>
      </c>
      <c r="Q36" s="126">
        <v>5</v>
      </c>
      <c r="R36" s="126">
        <v>1</v>
      </c>
      <c r="S36" s="126">
        <v>0</v>
      </c>
      <c r="T36" s="126">
        <v>502</v>
      </c>
      <c r="U36" s="81">
        <f t="shared" si="0"/>
        <v>502</v>
      </c>
      <c r="V36" s="23">
        <v>68.49</v>
      </c>
      <c r="W36" s="131">
        <f t="shared" si="1"/>
        <v>31.510000000000005</v>
      </c>
    </row>
    <row r="37" spans="2:23" ht="12.75">
      <c r="B37" s="73" t="s">
        <v>98</v>
      </c>
      <c r="C37" s="121">
        <v>3</v>
      </c>
      <c r="D37" s="121">
        <v>6</v>
      </c>
      <c r="E37" s="122" t="s">
        <v>40</v>
      </c>
      <c r="F37" s="126">
        <v>91</v>
      </c>
      <c r="G37" s="126">
        <v>93</v>
      </c>
      <c r="H37" s="126">
        <v>70</v>
      </c>
      <c r="I37" s="126">
        <v>1</v>
      </c>
      <c r="J37" s="126">
        <v>52</v>
      </c>
      <c r="K37" s="126">
        <v>3</v>
      </c>
      <c r="L37" s="126">
        <v>104</v>
      </c>
      <c r="M37" s="126">
        <v>5</v>
      </c>
      <c r="N37" s="126">
        <v>3</v>
      </c>
      <c r="O37" s="126">
        <v>46</v>
      </c>
      <c r="P37" s="126">
        <v>1</v>
      </c>
      <c r="Q37" s="126">
        <v>6</v>
      </c>
      <c r="R37" s="126">
        <v>3</v>
      </c>
      <c r="S37" s="126">
        <v>4</v>
      </c>
      <c r="T37" s="126">
        <v>478</v>
      </c>
      <c r="U37" s="81">
        <f t="shared" si="0"/>
        <v>482</v>
      </c>
      <c r="V37" s="23">
        <v>67.32</v>
      </c>
      <c r="W37" s="131">
        <f t="shared" si="1"/>
        <v>32.68000000000001</v>
      </c>
    </row>
    <row r="38" spans="2:23" ht="12.75">
      <c r="B38" s="73" t="s">
        <v>170</v>
      </c>
      <c r="C38" s="121">
        <v>3</v>
      </c>
      <c r="D38" s="121">
        <v>7</v>
      </c>
      <c r="E38" s="122" t="s">
        <v>39</v>
      </c>
      <c r="F38" s="126">
        <v>37</v>
      </c>
      <c r="G38" s="126">
        <v>27</v>
      </c>
      <c r="H38" s="126">
        <v>41</v>
      </c>
      <c r="I38" s="126">
        <v>1</v>
      </c>
      <c r="J38" s="126">
        <v>60</v>
      </c>
      <c r="K38" s="126">
        <v>0</v>
      </c>
      <c r="L38" s="126">
        <v>67</v>
      </c>
      <c r="M38" s="126">
        <v>4</v>
      </c>
      <c r="N38" s="126">
        <v>1</v>
      </c>
      <c r="O38" s="126">
        <v>46</v>
      </c>
      <c r="P38" s="126">
        <v>1</v>
      </c>
      <c r="Q38" s="126">
        <v>6</v>
      </c>
      <c r="R38" s="126">
        <v>1</v>
      </c>
      <c r="S38" s="126">
        <v>4</v>
      </c>
      <c r="T38" s="126">
        <v>292</v>
      </c>
      <c r="U38" s="81">
        <f t="shared" si="0"/>
        <v>296</v>
      </c>
      <c r="V38" s="23">
        <v>65.78</v>
      </c>
      <c r="W38" s="131">
        <f t="shared" si="1"/>
        <v>34.22</v>
      </c>
    </row>
    <row r="39" spans="2:23" ht="12.75">
      <c r="B39" s="73" t="s">
        <v>170</v>
      </c>
      <c r="C39" s="121">
        <v>3</v>
      </c>
      <c r="D39" s="121">
        <v>7</v>
      </c>
      <c r="E39" s="122" t="s">
        <v>40</v>
      </c>
      <c r="F39" s="126">
        <v>40</v>
      </c>
      <c r="G39" s="126">
        <v>33</v>
      </c>
      <c r="H39" s="126">
        <v>33</v>
      </c>
      <c r="I39" s="126">
        <v>1</v>
      </c>
      <c r="J39" s="126">
        <v>62</v>
      </c>
      <c r="K39" s="126">
        <v>0</v>
      </c>
      <c r="L39" s="126">
        <v>62</v>
      </c>
      <c r="M39" s="126">
        <v>4</v>
      </c>
      <c r="N39" s="126">
        <v>1</v>
      </c>
      <c r="O39" s="126">
        <v>51</v>
      </c>
      <c r="P39" s="126">
        <v>0</v>
      </c>
      <c r="Q39" s="126">
        <v>6</v>
      </c>
      <c r="R39" s="126">
        <v>1</v>
      </c>
      <c r="S39" s="126">
        <v>0</v>
      </c>
      <c r="T39" s="126">
        <v>294</v>
      </c>
      <c r="U39" s="81">
        <f t="shared" si="0"/>
        <v>294</v>
      </c>
      <c r="V39" s="77">
        <v>70</v>
      </c>
      <c r="W39" s="137">
        <f t="shared" si="1"/>
        <v>30</v>
      </c>
    </row>
    <row r="40" spans="2:23" ht="12.75">
      <c r="B40" s="73" t="s">
        <v>102</v>
      </c>
      <c r="C40" s="121">
        <v>3</v>
      </c>
      <c r="D40" s="121">
        <v>8</v>
      </c>
      <c r="E40" s="122" t="s">
        <v>39</v>
      </c>
      <c r="F40" s="126">
        <v>59</v>
      </c>
      <c r="G40" s="126">
        <v>22</v>
      </c>
      <c r="H40" s="126">
        <v>21</v>
      </c>
      <c r="I40" s="126">
        <v>0</v>
      </c>
      <c r="J40" s="126">
        <v>67</v>
      </c>
      <c r="K40" s="126">
        <v>2</v>
      </c>
      <c r="L40" s="126">
        <v>85</v>
      </c>
      <c r="M40" s="126">
        <v>1</v>
      </c>
      <c r="N40" s="126">
        <v>1</v>
      </c>
      <c r="O40" s="126">
        <v>52</v>
      </c>
      <c r="P40" s="126">
        <v>0</v>
      </c>
      <c r="Q40" s="126">
        <v>3</v>
      </c>
      <c r="R40" s="127">
        <v>3</v>
      </c>
      <c r="S40" s="127">
        <v>2</v>
      </c>
      <c r="T40" s="127">
        <v>316</v>
      </c>
      <c r="U40" s="81">
        <f t="shared" si="0"/>
        <v>318</v>
      </c>
      <c r="V40" s="23">
        <v>69.43</v>
      </c>
      <c r="W40" s="131">
        <f t="shared" si="1"/>
        <v>30.569999999999993</v>
      </c>
    </row>
    <row r="41" spans="2:23" ht="12.75">
      <c r="B41" s="73" t="s">
        <v>102</v>
      </c>
      <c r="C41" s="121">
        <v>3</v>
      </c>
      <c r="D41" s="121">
        <v>8</v>
      </c>
      <c r="E41" s="122" t="s">
        <v>40</v>
      </c>
      <c r="F41" s="126">
        <v>70</v>
      </c>
      <c r="G41" s="126">
        <v>25</v>
      </c>
      <c r="H41" s="126">
        <v>18</v>
      </c>
      <c r="I41" s="126">
        <v>0</v>
      </c>
      <c r="J41" s="126">
        <v>84</v>
      </c>
      <c r="K41" s="126">
        <v>2</v>
      </c>
      <c r="L41" s="126">
        <v>129</v>
      </c>
      <c r="M41" s="126">
        <v>2</v>
      </c>
      <c r="N41" s="126">
        <v>0</v>
      </c>
      <c r="O41" s="126">
        <v>57</v>
      </c>
      <c r="P41" s="126">
        <v>0</v>
      </c>
      <c r="Q41" s="126">
        <v>6</v>
      </c>
      <c r="R41" s="126">
        <v>1</v>
      </c>
      <c r="S41" s="126">
        <v>3</v>
      </c>
      <c r="T41" s="126">
        <v>394</v>
      </c>
      <c r="U41" s="81">
        <f t="shared" si="0"/>
        <v>397</v>
      </c>
      <c r="V41" s="23">
        <v>69.82</v>
      </c>
      <c r="W41" s="131">
        <f t="shared" si="1"/>
        <v>30.180000000000007</v>
      </c>
    </row>
    <row r="42" spans="2:23" ht="12.75">
      <c r="B42" s="73" t="s">
        <v>102</v>
      </c>
      <c r="C42" s="121">
        <v>3</v>
      </c>
      <c r="D42" s="121">
        <v>8</v>
      </c>
      <c r="E42" s="122" t="s">
        <v>92</v>
      </c>
      <c r="F42" s="126">
        <v>88</v>
      </c>
      <c r="G42" s="126">
        <v>37</v>
      </c>
      <c r="H42" s="126">
        <v>29</v>
      </c>
      <c r="I42" s="126">
        <v>0</v>
      </c>
      <c r="J42" s="126">
        <v>77</v>
      </c>
      <c r="K42" s="126">
        <v>0</v>
      </c>
      <c r="L42" s="126">
        <v>119</v>
      </c>
      <c r="M42" s="126">
        <v>3</v>
      </c>
      <c r="N42" s="126">
        <v>0</v>
      </c>
      <c r="O42" s="126">
        <v>56</v>
      </c>
      <c r="P42" s="126">
        <v>0</v>
      </c>
      <c r="Q42" s="126">
        <v>5</v>
      </c>
      <c r="R42" s="126">
        <v>1</v>
      </c>
      <c r="S42" s="126">
        <v>3</v>
      </c>
      <c r="T42" s="126">
        <v>415</v>
      </c>
      <c r="U42" s="81">
        <f t="shared" si="0"/>
        <v>418</v>
      </c>
      <c r="V42" s="23">
        <v>73.08</v>
      </c>
      <c r="W42" s="131">
        <f t="shared" si="1"/>
        <v>26.92</v>
      </c>
    </row>
    <row r="43" spans="2:23" ht="12.75">
      <c r="B43" s="73" t="s">
        <v>103</v>
      </c>
      <c r="C43" s="121">
        <v>3</v>
      </c>
      <c r="D43" s="121">
        <v>9</v>
      </c>
      <c r="E43" s="122" t="s">
        <v>39</v>
      </c>
      <c r="F43" s="126">
        <v>54</v>
      </c>
      <c r="G43" s="126">
        <v>50</v>
      </c>
      <c r="H43" s="126">
        <v>46</v>
      </c>
      <c r="I43" s="126">
        <v>0</v>
      </c>
      <c r="J43" s="126">
        <v>57</v>
      </c>
      <c r="K43" s="126">
        <v>1</v>
      </c>
      <c r="L43" s="126">
        <v>114</v>
      </c>
      <c r="M43" s="126">
        <v>7</v>
      </c>
      <c r="N43" s="126">
        <v>0</v>
      </c>
      <c r="O43" s="126">
        <v>52</v>
      </c>
      <c r="P43" s="126">
        <v>2</v>
      </c>
      <c r="Q43" s="126">
        <v>5</v>
      </c>
      <c r="R43" s="126">
        <v>3</v>
      </c>
      <c r="S43" s="126">
        <v>2</v>
      </c>
      <c r="T43" s="126">
        <v>391</v>
      </c>
      <c r="U43" s="81">
        <f t="shared" si="0"/>
        <v>393</v>
      </c>
      <c r="V43" s="23">
        <v>66.84</v>
      </c>
      <c r="W43" s="131">
        <f t="shared" si="1"/>
        <v>33.16</v>
      </c>
    </row>
    <row r="44" spans="2:23" ht="12.75">
      <c r="B44" s="73" t="s">
        <v>103</v>
      </c>
      <c r="C44" s="121">
        <v>3</v>
      </c>
      <c r="D44" s="121">
        <v>9</v>
      </c>
      <c r="E44" s="122" t="s">
        <v>40</v>
      </c>
      <c r="F44" s="126">
        <v>50</v>
      </c>
      <c r="G44" s="126">
        <v>51</v>
      </c>
      <c r="H44" s="126">
        <v>50</v>
      </c>
      <c r="I44" s="126">
        <v>1</v>
      </c>
      <c r="J44" s="126">
        <v>77</v>
      </c>
      <c r="K44" s="126">
        <v>0</v>
      </c>
      <c r="L44" s="126">
        <v>106</v>
      </c>
      <c r="M44" s="126">
        <v>9</v>
      </c>
      <c r="N44" s="126">
        <v>1</v>
      </c>
      <c r="O44" s="126">
        <v>72</v>
      </c>
      <c r="P44" s="126">
        <v>1</v>
      </c>
      <c r="Q44" s="126">
        <v>5</v>
      </c>
      <c r="R44" s="126">
        <v>1</v>
      </c>
      <c r="S44" s="126">
        <v>8</v>
      </c>
      <c r="T44" s="126">
        <v>424</v>
      </c>
      <c r="U44" s="81">
        <f t="shared" si="0"/>
        <v>432</v>
      </c>
      <c r="V44" s="23">
        <v>69.34</v>
      </c>
      <c r="W44" s="131">
        <f t="shared" si="1"/>
        <v>30.659999999999997</v>
      </c>
    </row>
    <row r="45" spans="2:23" ht="12.75">
      <c r="B45" s="73" t="s">
        <v>102</v>
      </c>
      <c r="C45" s="121">
        <v>3</v>
      </c>
      <c r="D45" s="121">
        <v>10</v>
      </c>
      <c r="E45" s="122" t="s">
        <v>41</v>
      </c>
      <c r="F45" s="126">
        <v>96</v>
      </c>
      <c r="G45" s="126">
        <v>60</v>
      </c>
      <c r="H45" s="126">
        <v>47</v>
      </c>
      <c r="I45" s="126">
        <v>0</v>
      </c>
      <c r="J45" s="126">
        <v>107</v>
      </c>
      <c r="K45" s="126">
        <v>1</v>
      </c>
      <c r="L45" s="126">
        <v>135</v>
      </c>
      <c r="M45" s="126">
        <v>5</v>
      </c>
      <c r="N45" s="126">
        <v>1</v>
      </c>
      <c r="O45" s="126">
        <v>37</v>
      </c>
      <c r="P45" s="126">
        <v>0</v>
      </c>
      <c r="Q45" s="126">
        <v>9</v>
      </c>
      <c r="R45" s="126">
        <v>3</v>
      </c>
      <c r="S45" s="126">
        <v>3</v>
      </c>
      <c r="T45" s="126">
        <v>501</v>
      </c>
      <c r="U45" s="81">
        <f t="shared" si="0"/>
        <v>504</v>
      </c>
      <c r="V45" s="23">
        <v>75.56</v>
      </c>
      <c r="W45" s="131">
        <f t="shared" si="1"/>
        <v>24.439999999999998</v>
      </c>
    </row>
    <row r="46" spans="2:23" ht="12.75">
      <c r="B46" s="73" t="s">
        <v>246</v>
      </c>
      <c r="C46" s="121">
        <v>3</v>
      </c>
      <c r="D46" s="121">
        <v>11</v>
      </c>
      <c r="E46" s="122" t="s">
        <v>39</v>
      </c>
      <c r="F46" s="126">
        <v>60</v>
      </c>
      <c r="G46" s="126">
        <v>40</v>
      </c>
      <c r="H46" s="126">
        <v>37</v>
      </c>
      <c r="I46" s="126">
        <v>0</v>
      </c>
      <c r="J46" s="126">
        <v>81</v>
      </c>
      <c r="K46" s="126">
        <v>0</v>
      </c>
      <c r="L46" s="126">
        <v>60</v>
      </c>
      <c r="M46" s="126">
        <v>6</v>
      </c>
      <c r="N46" s="126">
        <v>0</v>
      </c>
      <c r="O46" s="126">
        <v>31</v>
      </c>
      <c r="P46" s="126">
        <v>1</v>
      </c>
      <c r="Q46" s="126">
        <v>7</v>
      </c>
      <c r="R46" s="127">
        <v>1</v>
      </c>
      <c r="S46" s="127">
        <v>4</v>
      </c>
      <c r="T46" s="127">
        <v>324</v>
      </c>
      <c r="U46" s="81">
        <f t="shared" si="0"/>
        <v>328</v>
      </c>
      <c r="V46" s="23">
        <v>74.21</v>
      </c>
      <c r="W46" s="131">
        <f t="shared" si="1"/>
        <v>25.790000000000006</v>
      </c>
    </row>
    <row r="47" spans="2:23" ht="12.75">
      <c r="B47" s="73" t="s">
        <v>246</v>
      </c>
      <c r="C47" s="121">
        <v>3</v>
      </c>
      <c r="D47" s="121">
        <v>11</v>
      </c>
      <c r="E47" s="122" t="s">
        <v>40</v>
      </c>
      <c r="F47" s="126">
        <v>72</v>
      </c>
      <c r="G47" s="126">
        <v>35</v>
      </c>
      <c r="H47" s="126">
        <v>34</v>
      </c>
      <c r="I47" s="126">
        <v>0</v>
      </c>
      <c r="J47" s="126">
        <v>81</v>
      </c>
      <c r="K47" s="126">
        <v>0</v>
      </c>
      <c r="L47" s="126">
        <v>80</v>
      </c>
      <c r="M47" s="126">
        <v>3</v>
      </c>
      <c r="N47" s="126">
        <v>1</v>
      </c>
      <c r="O47" s="126">
        <v>50</v>
      </c>
      <c r="P47" s="126">
        <v>2</v>
      </c>
      <c r="Q47" s="126">
        <v>6</v>
      </c>
      <c r="R47" s="126">
        <v>1</v>
      </c>
      <c r="S47" s="126">
        <v>5</v>
      </c>
      <c r="T47" s="126">
        <v>365</v>
      </c>
      <c r="U47" s="81">
        <f t="shared" si="0"/>
        <v>370</v>
      </c>
      <c r="V47" s="23">
        <v>71.15</v>
      </c>
      <c r="W47" s="131">
        <f t="shared" si="1"/>
        <v>28.849999999999994</v>
      </c>
    </row>
    <row r="48" spans="2:23" ht="12.75">
      <c r="B48" s="73" t="s">
        <v>248</v>
      </c>
      <c r="C48" s="121">
        <v>3</v>
      </c>
      <c r="D48" s="121">
        <v>12</v>
      </c>
      <c r="E48" s="122" t="s">
        <v>39</v>
      </c>
      <c r="F48" s="126">
        <v>66</v>
      </c>
      <c r="G48" s="126">
        <v>40</v>
      </c>
      <c r="H48" s="126">
        <v>38</v>
      </c>
      <c r="I48" s="126">
        <v>0</v>
      </c>
      <c r="J48" s="126">
        <v>72</v>
      </c>
      <c r="K48" s="126">
        <v>2</v>
      </c>
      <c r="L48" s="126">
        <v>129</v>
      </c>
      <c r="M48" s="126">
        <v>4</v>
      </c>
      <c r="N48" s="126">
        <v>1</v>
      </c>
      <c r="O48" s="126">
        <v>70</v>
      </c>
      <c r="P48" s="126">
        <v>4</v>
      </c>
      <c r="Q48" s="126">
        <v>7</v>
      </c>
      <c r="R48" s="126">
        <v>0</v>
      </c>
      <c r="S48" s="126">
        <v>4</v>
      </c>
      <c r="T48" s="126">
        <v>433</v>
      </c>
      <c r="U48" s="81">
        <f t="shared" si="0"/>
        <v>437</v>
      </c>
      <c r="V48" s="23">
        <v>64.17</v>
      </c>
      <c r="W48" s="131">
        <f t="shared" si="1"/>
        <v>35.83</v>
      </c>
    </row>
    <row r="49" spans="2:23" ht="12.75">
      <c r="B49" s="73" t="s">
        <v>248</v>
      </c>
      <c r="C49" s="121">
        <v>3</v>
      </c>
      <c r="D49" s="121">
        <v>12</v>
      </c>
      <c r="E49" s="122" t="s">
        <v>40</v>
      </c>
      <c r="F49" s="126">
        <v>69</v>
      </c>
      <c r="G49" s="126">
        <v>38</v>
      </c>
      <c r="H49" s="126">
        <v>34</v>
      </c>
      <c r="I49" s="126">
        <v>0</v>
      </c>
      <c r="J49" s="126">
        <v>98</v>
      </c>
      <c r="K49" s="126">
        <v>1</v>
      </c>
      <c r="L49" s="126">
        <v>110</v>
      </c>
      <c r="M49" s="126">
        <v>1</v>
      </c>
      <c r="N49" s="126">
        <v>1</v>
      </c>
      <c r="O49" s="126">
        <v>75</v>
      </c>
      <c r="P49" s="126">
        <v>0</v>
      </c>
      <c r="Q49" s="126">
        <v>7</v>
      </c>
      <c r="R49" s="126">
        <v>1</v>
      </c>
      <c r="S49" s="126">
        <v>4</v>
      </c>
      <c r="T49" s="126">
        <v>435</v>
      </c>
      <c r="U49" s="81">
        <f t="shared" si="0"/>
        <v>439</v>
      </c>
      <c r="V49" s="23">
        <v>66.41</v>
      </c>
      <c r="W49" s="131">
        <f t="shared" si="1"/>
        <v>33.59</v>
      </c>
    </row>
    <row r="50" spans="2:23" ht="12.75">
      <c r="B50" s="73" t="s">
        <v>248</v>
      </c>
      <c r="C50" s="121">
        <v>3</v>
      </c>
      <c r="D50" s="121">
        <v>13</v>
      </c>
      <c r="E50" s="122" t="s">
        <v>39</v>
      </c>
      <c r="F50" s="126">
        <v>52</v>
      </c>
      <c r="G50" s="126">
        <v>12</v>
      </c>
      <c r="H50" s="126">
        <v>23</v>
      </c>
      <c r="I50" s="126">
        <v>0</v>
      </c>
      <c r="J50" s="126">
        <v>55</v>
      </c>
      <c r="K50" s="126">
        <v>0</v>
      </c>
      <c r="L50" s="126">
        <v>94</v>
      </c>
      <c r="M50" s="126">
        <v>3</v>
      </c>
      <c r="N50" s="126">
        <v>0</v>
      </c>
      <c r="O50" s="126">
        <v>52</v>
      </c>
      <c r="P50" s="126">
        <v>2</v>
      </c>
      <c r="Q50" s="126">
        <v>1</v>
      </c>
      <c r="R50" s="126">
        <v>1</v>
      </c>
      <c r="S50" s="126">
        <v>0</v>
      </c>
      <c r="T50" s="126">
        <v>295</v>
      </c>
      <c r="U50" s="81">
        <f t="shared" si="0"/>
        <v>295</v>
      </c>
      <c r="V50" s="23">
        <v>66.89</v>
      </c>
      <c r="W50" s="131">
        <f t="shared" si="1"/>
        <v>33.11</v>
      </c>
    </row>
    <row r="51" spans="2:23" ht="12.75">
      <c r="B51" s="73" t="s">
        <v>248</v>
      </c>
      <c r="C51" s="122">
        <v>3</v>
      </c>
      <c r="D51" s="122">
        <v>13</v>
      </c>
      <c r="E51" s="122" t="s">
        <v>40</v>
      </c>
      <c r="F51" s="126">
        <v>61</v>
      </c>
      <c r="G51" s="126">
        <v>14</v>
      </c>
      <c r="H51" s="126">
        <v>22</v>
      </c>
      <c r="I51" s="126">
        <v>2</v>
      </c>
      <c r="J51" s="126">
        <v>45</v>
      </c>
      <c r="K51" s="126">
        <v>1</v>
      </c>
      <c r="L51" s="126">
        <v>75</v>
      </c>
      <c r="M51" s="126">
        <v>0</v>
      </c>
      <c r="N51" s="126">
        <v>0</v>
      </c>
      <c r="O51" s="126">
        <v>43</v>
      </c>
      <c r="P51" s="126">
        <v>0</v>
      </c>
      <c r="Q51" s="126">
        <v>2</v>
      </c>
      <c r="R51" s="127">
        <v>2</v>
      </c>
      <c r="S51" s="127">
        <v>0</v>
      </c>
      <c r="T51" s="127">
        <v>267</v>
      </c>
      <c r="U51" s="81">
        <f t="shared" si="0"/>
        <v>267</v>
      </c>
      <c r="V51" s="23">
        <v>72.95</v>
      </c>
      <c r="W51" s="131">
        <f t="shared" si="1"/>
        <v>27.049999999999997</v>
      </c>
    </row>
    <row r="52" spans="2:23" ht="12.75">
      <c r="B52" s="6"/>
      <c r="C52" s="7"/>
      <c r="D52" s="7"/>
      <c r="E52" s="7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32"/>
      <c r="V52" s="23"/>
      <c r="W52" s="131"/>
    </row>
    <row r="53" spans="1:23" ht="12.75">
      <c r="A53" s="5"/>
      <c r="B53" s="9" t="s">
        <v>89</v>
      </c>
      <c r="C53" s="10"/>
      <c r="D53" s="10"/>
      <c r="E53" s="10"/>
      <c r="F53" s="81">
        <f aca="true" t="shared" si="2" ref="F53:U53">SUM(F8:F51)</f>
        <v>2955</v>
      </c>
      <c r="G53" s="81">
        <f t="shared" si="2"/>
        <v>2110</v>
      </c>
      <c r="H53" s="81">
        <f t="shared" si="2"/>
        <v>1922</v>
      </c>
      <c r="I53" s="81">
        <f t="shared" si="2"/>
        <v>17</v>
      </c>
      <c r="J53" s="138">
        <f t="shared" si="2"/>
        <v>2863</v>
      </c>
      <c r="K53" s="81">
        <f t="shared" si="2"/>
        <v>32</v>
      </c>
      <c r="L53" s="81">
        <f t="shared" si="2"/>
        <v>4286</v>
      </c>
      <c r="M53" s="81">
        <f t="shared" si="2"/>
        <v>208</v>
      </c>
      <c r="N53" s="81">
        <f t="shared" si="2"/>
        <v>34</v>
      </c>
      <c r="O53" s="81">
        <f t="shared" si="2"/>
        <v>2117</v>
      </c>
      <c r="P53" s="81">
        <f t="shared" si="2"/>
        <v>40</v>
      </c>
      <c r="Q53" s="81">
        <f t="shared" si="2"/>
        <v>215</v>
      </c>
      <c r="R53" s="81">
        <f t="shared" si="2"/>
        <v>74</v>
      </c>
      <c r="S53" s="81">
        <f t="shared" si="2"/>
        <v>154</v>
      </c>
      <c r="T53" s="81">
        <f t="shared" si="2"/>
        <v>16873</v>
      </c>
      <c r="U53" s="81">
        <f t="shared" si="2"/>
        <v>17027</v>
      </c>
      <c r="V53" s="139">
        <v>67.43</v>
      </c>
      <c r="W53" s="140">
        <v>32.57</v>
      </c>
    </row>
    <row r="54" spans="2:23" ht="13.5" thickBot="1"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5"/>
    </row>
    <row r="55" spans="22:23" ht="12.75">
      <c r="V55" s="7"/>
      <c r="W55" s="7"/>
    </row>
    <row r="56" spans="2:23" ht="12.75">
      <c r="B56" t="s">
        <v>157</v>
      </c>
      <c r="C56" s="52" t="s">
        <v>254</v>
      </c>
      <c r="D56" s="52"/>
      <c r="E56" s="52" t="s">
        <v>136</v>
      </c>
      <c r="F56" s="68"/>
      <c r="K56" s="52"/>
      <c r="L56" s="52"/>
      <c r="M56" s="52" t="s">
        <v>249</v>
      </c>
      <c r="N56" s="52"/>
      <c r="P56" s="52" t="s">
        <v>261</v>
      </c>
      <c r="Q56" s="52"/>
      <c r="V56" s="7"/>
      <c r="W56" s="7"/>
    </row>
    <row r="57" spans="3:21" ht="12.75">
      <c r="C57" s="52" t="s">
        <v>256</v>
      </c>
      <c r="D57" s="52"/>
      <c r="E57" s="52" t="s">
        <v>171</v>
      </c>
      <c r="F57" s="52"/>
      <c r="G57" s="50"/>
      <c r="J57" s="43"/>
      <c r="K57" s="52"/>
      <c r="L57" s="52"/>
      <c r="M57" s="66" t="s">
        <v>252</v>
      </c>
      <c r="N57" s="66"/>
      <c r="O57" s="66"/>
      <c r="P57" s="66" t="s">
        <v>262</v>
      </c>
      <c r="Q57" s="52"/>
      <c r="R57" s="43"/>
      <c r="S57" s="43"/>
      <c r="T57" s="43"/>
      <c r="U57" s="42"/>
    </row>
    <row r="58" spans="3:17" ht="12.75">
      <c r="C58" s="52" t="s">
        <v>251</v>
      </c>
      <c r="D58" s="52"/>
      <c r="E58" s="52" t="s">
        <v>260</v>
      </c>
      <c r="F58" s="52"/>
      <c r="G58" s="50"/>
      <c r="K58" s="52"/>
      <c r="L58" s="52"/>
      <c r="M58" s="52" t="s">
        <v>118</v>
      </c>
      <c r="N58" s="52"/>
      <c r="P58" s="52" t="s">
        <v>186</v>
      </c>
      <c r="Q58" s="52"/>
    </row>
    <row r="59" spans="3:17" ht="12.75">
      <c r="C59" s="52" t="s">
        <v>257</v>
      </c>
      <c r="D59" s="52"/>
      <c r="E59" s="52" t="s">
        <v>258</v>
      </c>
      <c r="F59" s="52"/>
      <c r="G59" s="50"/>
      <c r="K59" s="52"/>
      <c r="L59" s="52"/>
      <c r="M59" s="52" t="s">
        <v>7</v>
      </c>
      <c r="N59" s="52"/>
      <c r="P59" s="52" t="s">
        <v>187</v>
      </c>
      <c r="Q59" s="52"/>
    </row>
    <row r="60" spans="3:17" ht="12.75">
      <c r="C60" s="52" t="s">
        <v>250</v>
      </c>
      <c r="D60" s="52"/>
      <c r="E60" s="52" t="s">
        <v>259</v>
      </c>
      <c r="F60" s="52"/>
      <c r="G60" s="50"/>
      <c r="K60" s="52"/>
      <c r="L60" s="52"/>
      <c r="M60" s="52" t="s">
        <v>253</v>
      </c>
      <c r="N60" s="52"/>
      <c r="P60" s="52" t="s">
        <v>253</v>
      </c>
      <c r="Q60" s="52"/>
    </row>
    <row r="61" spans="3:17" ht="12.75">
      <c r="C61" s="52" t="s">
        <v>110</v>
      </c>
      <c r="D61" s="52"/>
      <c r="E61" s="52" t="s">
        <v>184</v>
      </c>
      <c r="F61" s="52"/>
      <c r="G61" s="50"/>
      <c r="K61" s="52"/>
      <c r="L61" s="52"/>
      <c r="M61" s="52" t="s">
        <v>177</v>
      </c>
      <c r="N61" s="52"/>
      <c r="P61" s="52" t="s">
        <v>279</v>
      </c>
      <c r="Q61" s="52"/>
    </row>
    <row r="62" spans="6:17" ht="12.75">
      <c r="F62" s="52"/>
      <c r="G62" s="50"/>
      <c r="M62" s="52"/>
      <c r="N62" s="52"/>
      <c r="P62" s="52"/>
      <c r="Q62" s="52"/>
    </row>
    <row r="63" spans="3:16" ht="12.75">
      <c r="C63" s="52"/>
      <c r="D63" s="52"/>
      <c r="E63" s="52"/>
      <c r="F63" s="52"/>
      <c r="G63" s="50"/>
      <c r="M63" s="52"/>
      <c r="N63" s="68"/>
      <c r="P63" s="52"/>
    </row>
    <row r="64" spans="6:7" ht="12.75">
      <c r="F64" s="52"/>
      <c r="G64" s="50"/>
    </row>
    <row r="65" spans="6:7" ht="12.75">
      <c r="F65" s="52"/>
      <c r="G65" s="50"/>
    </row>
    <row r="66" spans="6:7" ht="12.75">
      <c r="F66" s="52"/>
      <c r="G66" s="50"/>
    </row>
    <row r="67" spans="6:7" ht="12.75">
      <c r="F67" s="52"/>
      <c r="G67" s="50"/>
    </row>
    <row r="68" spans="6:7" ht="12.75">
      <c r="F68" s="52"/>
      <c r="G68" s="50"/>
    </row>
    <row r="69" spans="6:7" ht="12.75">
      <c r="F69" s="52"/>
      <c r="G69" s="50"/>
    </row>
    <row r="70" spans="6:7" ht="12.75">
      <c r="F70" s="52"/>
      <c r="G70" s="50"/>
    </row>
    <row r="71" spans="3:7" ht="12.75">
      <c r="C71" s="66"/>
      <c r="E71" s="51"/>
      <c r="F71" s="50"/>
      <c r="G71" s="50"/>
    </row>
    <row r="72" spans="3:7" ht="12.75">
      <c r="C72" s="66"/>
      <c r="E72" s="51"/>
      <c r="F72" s="50"/>
      <c r="G72" s="50"/>
    </row>
    <row r="73" spans="3:7" ht="12.75">
      <c r="C73" s="66"/>
      <c r="E73" s="51"/>
      <c r="F73" s="50"/>
      <c r="G73" s="50"/>
    </row>
    <row r="74" spans="3:7" ht="12.75">
      <c r="C74" s="66"/>
      <c r="E74" s="51"/>
      <c r="F74" s="50"/>
      <c r="G74" s="50"/>
    </row>
    <row r="75" spans="3:7" ht="12.75">
      <c r="C75" s="66"/>
      <c r="E75" s="51"/>
      <c r="F75" s="50"/>
      <c r="G75" s="50"/>
    </row>
    <row r="76" spans="3:7" ht="12.75">
      <c r="C76" s="66"/>
      <c r="E76" s="51"/>
      <c r="F76" s="50"/>
      <c r="G76" s="50"/>
    </row>
    <row r="77" spans="3:7" ht="12.75">
      <c r="C77" s="66"/>
      <c r="E77" s="51"/>
      <c r="F77" s="50"/>
      <c r="G77" s="50"/>
    </row>
    <row r="78" spans="3:7" ht="12.75">
      <c r="C78" s="66"/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3:7" ht="12.75">
      <c r="C84" s="44"/>
      <c r="F84" s="50"/>
      <c r="G84" s="50"/>
    </row>
  </sheetData>
  <sheetProtection/>
  <mergeCells count="3">
    <mergeCell ref="B1:M1"/>
    <mergeCell ref="B3:N3"/>
    <mergeCell ref="B4:D4"/>
  </mergeCells>
  <printOptions/>
  <pageMargins left="0.7874015748031497" right="0.7874015748031497" top="0.984251968503937" bottom="0.984251968503937" header="0" footer="0"/>
  <pageSetup fitToHeight="1" fitToWidth="1" horizontalDpi="600" verticalDpi="6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6"/>
  <sheetViews>
    <sheetView workbookViewId="0" topLeftCell="C14">
      <selection activeCell="U54" sqref="U54"/>
    </sheetView>
  </sheetViews>
  <sheetFormatPr defaultColWidth="11.421875" defaultRowHeight="12.75"/>
  <cols>
    <col min="1" max="1" width="2.7109375" style="0" customWidth="1"/>
    <col min="2" max="2" width="43.28125" style="0" customWidth="1"/>
    <col min="3" max="3" width="8.57421875" style="0" customWidth="1"/>
    <col min="4" max="4" width="7.7109375" style="0" customWidth="1"/>
    <col min="5" max="5" width="5.421875" style="0" customWidth="1"/>
    <col min="6" max="6" width="6.421875" style="0" customWidth="1"/>
    <col min="7" max="7" width="6.28125" style="0" customWidth="1"/>
    <col min="8" max="8" width="7.140625" style="0" customWidth="1"/>
    <col min="9" max="9" width="6.28125" style="0" customWidth="1"/>
    <col min="10" max="10" width="6.57421875" style="0" customWidth="1"/>
    <col min="11" max="12" width="8.00390625" style="0" customWidth="1"/>
    <col min="13" max="13" width="6.57421875" style="0" customWidth="1"/>
    <col min="14" max="14" width="6.8515625" style="0" customWidth="1"/>
    <col min="15" max="15" width="8.00390625" style="0" customWidth="1"/>
    <col min="16" max="16" width="15.421875" style="0" customWidth="1"/>
    <col min="17" max="17" width="8.28125" style="0" customWidth="1"/>
    <col min="18" max="18" width="9.8515625" style="0" customWidth="1"/>
    <col min="19" max="20" width="8.140625" style="0" customWidth="1"/>
    <col min="21" max="21" width="8.28125" style="0" customWidth="1"/>
    <col min="22" max="22" width="12.00390625" style="0" customWidth="1"/>
  </cols>
  <sheetData>
    <row r="1" spans="1:17" ht="18" customHeight="1">
      <c r="A1" s="1"/>
      <c r="B1" s="150" t="s">
        <v>244</v>
      </c>
      <c r="C1" s="150"/>
      <c r="D1" s="150"/>
      <c r="E1" s="150"/>
      <c r="F1" s="150"/>
      <c r="G1" s="151"/>
      <c r="H1" s="151"/>
      <c r="I1" s="151"/>
      <c r="J1" s="151"/>
      <c r="K1" s="151"/>
      <c r="L1" s="151"/>
      <c r="M1" s="151"/>
      <c r="N1" s="2"/>
      <c r="O1" s="2"/>
      <c r="P1" s="2"/>
      <c r="Q1" s="2"/>
    </row>
    <row r="2" spans="1:17" ht="12.75">
      <c r="A2" s="1"/>
      <c r="B2" s="53" t="s">
        <v>164</v>
      </c>
      <c r="C2" s="4"/>
      <c r="D2" s="1"/>
      <c r="E2" s="1"/>
      <c r="F2" s="1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7" ht="12.75" customHeight="1">
      <c r="A3" s="1"/>
      <c r="B3" s="149" t="s">
        <v>90</v>
      </c>
      <c r="C3" s="149"/>
      <c r="D3" s="149"/>
      <c r="E3" s="149"/>
      <c r="F3" s="149"/>
      <c r="G3" s="148"/>
      <c r="H3" s="148"/>
      <c r="I3" s="148"/>
      <c r="J3" s="148"/>
      <c r="K3" s="148"/>
      <c r="L3" s="148"/>
      <c r="M3" s="148"/>
      <c r="N3" s="148"/>
      <c r="O3" s="2"/>
      <c r="P3" s="2"/>
      <c r="Q3" s="2"/>
    </row>
    <row r="4" spans="1:17" ht="12.75">
      <c r="A4" s="1"/>
      <c r="B4" s="146" t="s">
        <v>1</v>
      </c>
      <c r="C4" s="146"/>
      <c r="D4" s="146"/>
      <c r="E4" s="1"/>
      <c r="F4" s="1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2.75">
      <c r="A5" s="1"/>
      <c r="B5" s="53" t="s">
        <v>162</v>
      </c>
      <c r="C5" s="60"/>
      <c r="D5" s="60"/>
      <c r="E5" s="1"/>
      <c r="F5" s="1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ht="12.75">
      <c r="A6" s="1"/>
      <c r="B6" s="53" t="s">
        <v>163</v>
      </c>
      <c r="C6" s="60"/>
      <c r="D6" s="60"/>
      <c r="E6" s="1"/>
      <c r="F6" s="1"/>
      <c r="H6" s="2"/>
      <c r="I6" s="2"/>
      <c r="J6" s="2"/>
      <c r="K6" s="2"/>
      <c r="L6" s="2"/>
      <c r="M6" s="2"/>
      <c r="N6" s="2"/>
      <c r="O6" s="2"/>
      <c r="P6" s="2"/>
      <c r="Q6" s="2"/>
    </row>
    <row r="7" ht="13.5" thickBot="1"/>
    <row r="8" spans="1:23" ht="39.75" customHeight="1" thickBot="1">
      <c r="A8" s="30"/>
      <c r="B8" s="54" t="s">
        <v>48</v>
      </c>
      <c r="C8" s="55" t="s">
        <v>49</v>
      </c>
      <c r="D8" s="55" t="s">
        <v>50</v>
      </c>
      <c r="E8" s="55" t="s">
        <v>51</v>
      </c>
      <c r="F8" s="123" t="s">
        <v>255</v>
      </c>
      <c r="G8" s="123" t="s">
        <v>256</v>
      </c>
      <c r="H8" s="124" t="s">
        <v>251</v>
      </c>
      <c r="I8" s="124" t="s">
        <v>257</v>
      </c>
      <c r="J8" s="124" t="s">
        <v>250</v>
      </c>
      <c r="K8" s="124" t="s">
        <v>110</v>
      </c>
      <c r="L8" s="123" t="s">
        <v>249</v>
      </c>
      <c r="M8" s="123" t="s">
        <v>252</v>
      </c>
      <c r="N8" s="123" t="s">
        <v>118</v>
      </c>
      <c r="O8" s="124" t="s">
        <v>7</v>
      </c>
      <c r="P8" s="123" t="s">
        <v>253</v>
      </c>
      <c r="Q8" s="123" t="s">
        <v>177</v>
      </c>
      <c r="R8" s="69" t="s">
        <v>27</v>
      </c>
      <c r="S8" s="69" t="s">
        <v>25</v>
      </c>
      <c r="T8" s="55" t="s">
        <v>265</v>
      </c>
      <c r="U8" s="55" t="s">
        <v>161</v>
      </c>
      <c r="V8" s="55" t="s">
        <v>266</v>
      </c>
      <c r="W8" s="56" t="s">
        <v>267</v>
      </c>
    </row>
    <row r="9" spans="1:23" ht="12.75">
      <c r="A9" s="30"/>
      <c r="B9" s="31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7"/>
      <c r="S9" s="7"/>
      <c r="T9" s="7"/>
      <c r="U9" s="49"/>
      <c r="V9" s="49"/>
      <c r="W9" s="130"/>
    </row>
    <row r="10" spans="1:23" ht="12.75">
      <c r="A10" s="30"/>
      <c r="B10" s="73" t="s">
        <v>166</v>
      </c>
      <c r="C10" s="120">
        <v>1</v>
      </c>
      <c r="D10" s="120">
        <v>1</v>
      </c>
      <c r="E10" s="120" t="s">
        <v>39</v>
      </c>
      <c r="F10" s="128">
        <v>12.62</v>
      </c>
      <c r="G10" s="128">
        <v>20.06</v>
      </c>
      <c r="H10" s="128">
        <v>26.21</v>
      </c>
      <c r="I10" s="128">
        <v>0</v>
      </c>
      <c r="J10" s="128">
        <v>12.62</v>
      </c>
      <c r="K10" s="128">
        <v>0</v>
      </c>
      <c r="L10" s="128">
        <v>15.53</v>
      </c>
      <c r="M10" s="128">
        <v>0.32</v>
      </c>
      <c r="N10" s="128">
        <v>0</v>
      </c>
      <c r="O10" s="128">
        <v>10.36</v>
      </c>
      <c r="P10" s="128">
        <v>0.32</v>
      </c>
      <c r="Q10" s="128">
        <v>0.97</v>
      </c>
      <c r="R10" s="142">
        <v>0.97</v>
      </c>
      <c r="S10" s="77">
        <v>1.59</v>
      </c>
      <c r="T10" s="77">
        <v>98.41</v>
      </c>
      <c r="U10" s="78">
        <f>100/'2015 Totals'!U53*'2015 Totals'!U8</f>
        <v>1.8441299113173195</v>
      </c>
      <c r="V10" s="132">
        <v>69.78</v>
      </c>
      <c r="W10" s="137">
        <f aca="true" t="shared" si="0" ref="W10:W53">100-V10</f>
        <v>30.22</v>
      </c>
    </row>
    <row r="11" spans="1:23" ht="12.75">
      <c r="A11" s="30"/>
      <c r="B11" s="73" t="s">
        <v>166</v>
      </c>
      <c r="C11" s="120">
        <v>1</v>
      </c>
      <c r="D11" s="120">
        <v>1</v>
      </c>
      <c r="E11" s="120" t="s">
        <v>40</v>
      </c>
      <c r="F11" s="128">
        <v>11.21</v>
      </c>
      <c r="G11" s="128">
        <v>19.83</v>
      </c>
      <c r="H11" s="128">
        <v>31.55</v>
      </c>
      <c r="I11" s="128">
        <v>0</v>
      </c>
      <c r="J11" s="128">
        <v>11.21</v>
      </c>
      <c r="K11" s="128">
        <v>0</v>
      </c>
      <c r="L11" s="128">
        <v>17.24</v>
      </c>
      <c r="M11" s="128">
        <v>4.31</v>
      </c>
      <c r="N11" s="128">
        <v>0</v>
      </c>
      <c r="O11" s="128">
        <v>11.78</v>
      </c>
      <c r="P11" s="128">
        <v>0.57</v>
      </c>
      <c r="Q11" s="128">
        <v>1.15</v>
      </c>
      <c r="R11" s="142">
        <v>0.57</v>
      </c>
      <c r="S11" s="77">
        <v>2.52</v>
      </c>
      <c r="T11" s="77">
        <v>97.48</v>
      </c>
      <c r="U11" s="78">
        <f>100/'2015 Totals'!U53*'2015 Totals'!U9</f>
        <v>2.0849239443237213</v>
      </c>
      <c r="V11" s="132">
        <v>70.28</v>
      </c>
      <c r="W11" s="137">
        <f t="shared" si="0"/>
        <v>29.72</v>
      </c>
    </row>
    <row r="12" spans="1:23" ht="12.75">
      <c r="A12" s="30"/>
      <c r="B12" s="73" t="s">
        <v>167</v>
      </c>
      <c r="C12" s="120">
        <v>1</v>
      </c>
      <c r="D12" s="120">
        <v>2</v>
      </c>
      <c r="E12" s="120" t="s">
        <v>39</v>
      </c>
      <c r="F12" s="128">
        <v>12.62</v>
      </c>
      <c r="G12" s="128">
        <v>20.71</v>
      </c>
      <c r="H12" s="128">
        <v>20.39</v>
      </c>
      <c r="I12" s="128">
        <v>0</v>
      </c>
      <c r="J12" s="128">
        <v>11</v>
      </c>
      <c r="K12" s="128">
        <v>0</v>
      </c>
      <c r="L12" s="128">
        <v>22.98</v>
      </c>
      <c r="M12" s="128">
        <v>0.97</v>
      </c>
      <c r="N12" s="128">
        <v>0</v>
      </c>
      <c r="O12" s="128">
        <v>8.09</v>
      </c>
      <c r="P12" s="128">
        <v>0</v>
      </c>
      <c r="Q12" s="128">
        <v>2.59</v>
      </c>
      <c r="R12" s="142">
        <v>0.64</v>
      </c>
      <c r="S12" s="77">
        <v>0.64</v>
      </c>
      <c r="T12" s="77">
        <v>99.36</v>
      </c>
      <c r="U12" s="78">
        <f>100/'2015 Totals'!U53*'2015 Totals'!U10</f>
        <v>1.8265108357314852</v>
      </c>
      <c r="V12" s="77">
        <v>70.05</v>
      </c>
      <c r="W12" s="137">
        <f t="shared" si="0"/>
        <v>29.950000000000003</v>
      </c>
    </row>
    <row r="13" spans="1:23" ht="12.75">
      <c r="A13" s="30"/>
      <c r="B13" s="73" t="s">
        <v>167</v>
      </c>
      <c r="C13" s="120">
        <v>1</v>
      </c>
      <c r="D13" s="120">
        <v>2</v>
      </c>
      <c r="E13" s="120" t="s">
        <v>40</v>
      </c>
      <c r="F13" s="128">
        <v>11.62</v>
      </c>
      <c r="G13" s="128">
        <v>16.82</v>
      </c>
      <c r="H13" s="128">
        <v>37.22</v>
      </c>
      <c r="I13" s="128">
        <v>0</v>
      </c>
      <c r="J13" s="128">
        <v>8.87</v>
      </c>
      <c r="K13" s="128">
        <v>0</v>
      </c>
      <c r="L13" s="128">
        <v>23.24</v>
      </c>
      <c r="M13" s="128">
        <v>2.75</v>
      </c>
      <c r="N13" s="128">
        <v>0.31</v>
      </c>
      <c r="O13" s="128">
        <v>8.56</v>
      </c>
      <c r="P13" s="128">
        <v>0.31</v>
      </c>
      <c r="Q13" s="128">
        <v>0</v>
      </c>
      <c r="R13" s="142">
        <v>0.3</v>
      </c>
      <c r="S13" s="77">
        <v>0.3</v>
      </c>
      <c r="T13" s="77">
        <v>99.7</v>
      </c>
      <c r="U13" s="78">
        <f>100/'2015 Totals'!U53*'2015 Totals'!U11</f>
        <v>1.9263522640512127</v>
      </c>
      <c r="V13" s="77">
        <v>67.49</v>
      </c>
      <c r="W13" s="137">
        <f t="shared" si="0"/>
        <v>32.510000000000005</v>
      </c>
    </row>
    <row r="14" spans="1:23" ht="12.75">
      <c r="A14" s="30"/>
      <c r="B14" s="73" t="s">
        <v>166</v>
      </c>
      <c r="C14" s="120">
        <v>1</v>
      </c>
      <c r="D14" s="120">
        <v>3</v>
      </c>
      <c r="E14" s="120" t="s">
        <v>39</v>
      </c>
      <c r="F14" s="128">
        <f>100/414*79</f>
        <v>19.082125603864732</v>
      </c>
      <c r="G14" s="128">
        <f>100/414*57</f>
        <v>13.768115942028984</v>
      </c>
      <c r="H14" s="128">
        <f>100/414*31</f>
        <v>7.487922705314009</v>
      </c>
      <c r="I14" s="128">
        <f>100/414*0</f>
        <v>0</v>
      </c>
      <c r="J14" s="128">
        <f>100/414*86</f>
        <v>20.77294685990338</v>
      </c>
      <c r="K14" s="128">
        <v>0</v>
      </c>
      <c r="L14" s="128">
        <f>100/414*112</f>
        <v>27.053140096618357</v>
      </c>
      <c r="M14" s="128">
        <f>100/414*2</f>
        <v>0.4830917874396135</v>
      </c>
      <c r="N14" s="128">
        <f>100/414*2</f>
        <v>0.4830917874396135</v>
      </c>
      <c r="O14" s="128">
        <f>100/414*38</f>
        <v>9.178743961352657</v>
      </c>
      <c r="P14" s="128">
        <v>0</v>
      </c>
      <c r="Q14" s="128">
        <f>100/414*7</f>
        <v>1.6908212560386473</v>
      </c>
      <c r="R14" s="128">
        <v>0</v>
      </c>
      <c r="S14" s="128">
        <f>100/414*1</f>
        <v>0.24154589371980675</v>
      </c>
      <c r="T14" s="77">
        <v>99.76</v>
      </c>
      <c r="U14" s="78">
        <f>100/'2015 Totals'!U53*'2015 Totals'!U12</f>
        <v>2.437305456040406</v>
      </c>
      <c r="V14" s="77">
        <f>100/602*413</f>
        <v>68.6046511627907</v>
      </c>
      <c r="W14" s="137">
        <f t="shared" si="0"/>
        <v>31.395348837209298</v>
      </c>
    </row>
    <row r="15" spans="1:23" ht="12.75">
      <c r="A15" s="30"/>
      <c r="B15" s="73" t="s">
        <v>166</v>
      </c>
      <c r="C15" s="120">
        <v>1</v>
      </c>
      <c r="D15" s="120">
        <v>3</v>
      </c>
      <c r="E15" s="120" t="s">
        <v>40</v>
      </c>
      <c r="F15" s="128">
        <v>21.52</v>
      </c>
      <c r="G15" s="128">
        <v>10.54</v>
      </c>
      <c r="H15" s="128">
        <v>9.64</v>
      </c>
      <c r="I15" s="128">
        <v>0.22</v>
      </c>
      <c r="J15" s="128">
        <v>18.16</v>
      </c>
      <c r="K15" s="128">
        <v>0</v>
      </c>
      <c r="L15" s="128">
        <v>26.46</v>
      </c>
      <c r="M15" s="128">
        <v>0.67</v>
      </c>
      <c r="N15" s="128">
        <v>0</v>
      </c>
      <c r="O15" s="128">
        <v>11.66</v>
      </c>
      <c r="P15" s="128">
        <v>0</v>
      </c>
      <c r="Q15" s="128">
        <v>0.9</v>
      </c>
      <c r="R15" s="142">
        <v>0.22</v>
      </c>
      <c r="S15" s="77">
        <v>0.89</v>
      </c>
      <c r="T15" s="77">
        <v>99.11</v>
      </c>
      <c r="U15" s="78">
        <f>100/'2015 Totals'!U53*'2015 Totals'!U13</f>
        <v>2.6428613378751393</v>
      </c>
      <c r="V15" s="23">
        <v>69.44</v>
      </c>
      <c r="W15" s="137">
        <f t="shared" si="0"/>
        <v>30.560000000000002</v>
      </c>
    </row>
    <row r="16" spans="1:23" ht="12.75">
      <c r="A16" s="30"/>
      <c r="B16" s="73" t="s">
        <v>94</v>
      </c>
      <c r="C16" s="120">
        <v>2</v>
      </c>
      <c r="D16" s="120">
        <v>1</v>
      </c>
      <c r="E16" s="120" t="s">
        <v>39</v>
      </c>
      <c r="F16" s="128">
        <v>12.93</v>
      </c>
      <c r="G16" s="128">
        <v>19.77</v>
      </c>
      <c r="H16" s="128">
        <v>19.01</v>
      </c>
      <c r="I16" s="128">
        <v>0.76</v>
      </c>
      <c r="J16" s="128">
        <v>11.03</v>
      </c>
      <c r="K16" s="128">
        <v>0</v>
      </c>
      <c r="L16" s="128">
        <v>23.95</v>
      </c>
      <c r="M16" s="128">
        <v>2.28</v>
      </c>
      <c r="N16" s="128">
        <v>0</v>
      </c>
      <c r="O16" s="128">
        <v>7.98</v>
      </c>
      <c r="P16" s="128">
        <v>0.38</v>
      </c>
      <c r="Q16" s="128">
        <v>0.76</v>
      </c>
      <c r="R16" s="142">
        <v>1.14</v>
      </c>
      <c r="S16" s="77">
        <v>0.75</v>
      </c>
      <c r="T16" s="77">
        <v>99.25</v>
      </c>
      <c r="U16" s="78">
        <f>100/'2015 Totals'!U53*'2015 Totals'!U14</f>
        <v>1.5563516767486931</v>
      </c>
      <c r="V16" s="23">
        <v>66.58</v>
      </c>
      <c r="W16" s="137">
        <f t="shared" si="0"/>
        <v>33.42</v>
      </c>
    </row>
    <row r="17" spans="1:23" ht="12.75">
      <c r="A17" s="30"/>
      <c r="B17" s="73" t="s">
        <v>94</v>
      </c>
      <c r="C17" s="120">
        <v>2</v>
      </c>
      <c r="D17" s="120">
        <v>1</v>
      </c>
      <c r="E17" s="120" t="s">
        <v>40</v>
      </c>
      <c r="F17" s="128">
        <v>20.08</v>
      </c>
      <c r="G17" s="128">
        <v>17.8</v>
      </c>
      <c r="H17" s="128">
        <v>19.7</v>
      </c>
      <c r="I17" s="128">
        <v>0.38</v>
      </c>
      <c r="J17" s="128">
        <v>10.23</v>
      </c>
      <c r="K17" s="128">
        <v>0.38</v>
      </c>
      <c r="L17" s="128">
        <v>17.8</v>
      </c>
      <c r="M17" s="128">
        <v>2.65</v>
      </c>
      <c r="N17" s="128">
        <v>0</v>
      </c>
      <c r="O17" s="128">
        <v>7.58</v>
      </c>
      <c r="P17" s="128">
        <v>0.76</v>
      </c>
      <c r="Q17" s="128">
        <v>2.27</v>
      </c>
      <c r="R17" s="142">
        <v>0.38</v>
      </c>
      <c r="S17" s="77">
        <v>1.49</v>
      </c>
      <c r="T17" s="77">
        <v>98.51</v>
      </c>
      <c r="U17" s="78">
        <f>100/'2015 Totals'!U53*'2015 Totals'!U15</f>
        <v>1.5739707523345274</v>
      </c>
      <c r="V17" s="23">
        <v>68.89</v>
      </c>
      <c r="W17" s="137">
        <f t="shared" si="0"/>
        <v>31.11</v>
      </c>
    </row>
    <row r="18" spans="1:23" ht="12.75">
      <c r="A18" s="30"/>
      <c r="B18" s="73" t="s">
        <v>94</v>
      </c>
      <c r="C18" s="120">
        <v>2</v>
      </c>
      <c r="D18" s="120">
        <v>2</v>
      </c>
      <c r="E18" s="120" t="s">
        <v>39</v>
      </c>
      <c r="F18" s="128">
        <v>20.51</v>
      </c>
      <c r="G18" s="128">
        <v>12.64</v>
      </c>
      <c r="H18" s="128">
        <v>12.36</v>
      </c>
      <c r="I18" s="128">
        <v>0.28</v>
      </c>
      <c r="J18" s="128">
        <v>15.45</v>
      </c>
      <c r="K18" s="128">
        <v>0.56</v>
      </c>
      <c r="L18" s="128">
        <v>22.47</v>
      </c>
      <c r="M18" s="128">
        <v>1.97</v>
      </c>
      <c r="N18" s="128">
        <v>0</v>
      </c>
      <c r="O18" s="128">
        <v>12.64</v>
      </c>
      <c r="P18" s="128">
        <v>0.28</v>
      </c>
      <c r="Q18" s="128">
        <v>0.56</v>
      </c>
      <c r="R18" s="142">
        <v>0.28</v>
      </c>
      <c r="S18" s="77">
        <v>0.56</v>
      </c>
      <c r="T18" s="77">
        <v>99.44</v>
      </c>
      <c r="U18" s="78">
        <f>100/'2015 Totals'!U53*'2015 Totals'!U16</f>
        <v>2.102543019909555</v>
      </c>
      <c r="V18" s="23">
        <v>56.29</v>
      </c>
      <c r="W18" s="137">
        <f t="shared" si="0"/>
        <v>43.71</v>
      </c>
    </row>
    <row r="19" spans="1:23" ht="12.75">
      <c r="A19" s="30"/>
      <c r="B19" s="73" t="s">
        <v>94</v>
      </c>
      <c r="C19" s="120">
        <v>2</v>
      </c>
      <c r="D19" s="120">
        <v>2</v>
      </c>
      <c r="E19" s="120" t="s">
        <v>40</v>
      </c>
      <c r="F19" s="128">
        <v>17.95</v>
      </c>
      <c r="G19" s="128">
        <v>17.02</v>
      </c>
      <c r="H19" s="128">
        <v>17.72</v>
      </c>
      <c r="I19" s="128">
        <v>0</v>
      </c>
      <c r="J19" s="128">
        <v>10.26</v>
      </c>
      <c r="K19" s="128">
        <v>0.23</v>
      </c>
      <c r="L19" s="128">
        <v>23.78</v>
      </c>
      <c r="M19" s="128">
        <v>2.33</v>
      </c>
      <c r="N19" s="128">
        <v>0</v>
      </c>
      <c r="O19" s="128">
        <v>9.09</v>
      </c>
      <c r="P19" s="128">
        <v>0.23</v>
      </c>
      <c r="Q19" s="128">
        <v>1.4</v>
      </c>
      <c r="R19" s="142">
        <v>0</v>
      </c>
      <c r="S19" s="77">
        <v>1.15</v>
      </c>
      <c r="T19" s="77">
        <v>98.85</v>
      </c>
      <c r="U19" s="78">
        <f>100/'2015 Totals'!U53*'2015 Totals'!U17</f>
        <v>2.54889293475069</v>
      </c>
      <c r="V19" s="23">
        <v>62.27</v>
      </c>
      <c r="W19" s="137">
        <f t="shared" si="0"/>
        <v>37.73</v>
      </c>
    </row>
    <row r="20" spans="2:23" ht="12.75">
      <c r="B20" s="73" t="s">
        <v>245</v>
      </c>
      <c r="C20" s="121">
        <v>2</v>
      </c>
      <c r="D20" s="121">
        <v>3</v>
      </c>
      <c r="E20" s="122" t="s">
        <v>39</v>
      </c>
      <c r="F20" s="133">
        <v>16.96</v>
      </c>
      <c r="G20" s="133">
        <v>13.99</v>
      </c>
      <c r="H20" s="133">
        <v>10.12</v>
      </c>
      <c r="I20" s="133">
        <v>0</v>
      </c>
      <c r="J20" s="133">
        <v>13.69</v>
      </c>
      <c r="K20" s="134">
        <v>0.6</v>
      </c>
      <c r="L20" s="133">
        <v>17.08</v>
      </c>
      <c r="M20" s="133">
        <v>0.6</v>
      </c>
      <c r="N20" s="133">
        <v>0.6</v>
      </c>
      <c r="O20" s="133">
        <v>13.99</v>
      </c>
      <c r="P20" s="133">
        <v>0.3</v>
      </c>
      <c r="Q20" s="133">
        <v>1.49</v>
      </c>
      <c r="R20" s="133">
        <v>0.6</v>
      </c>
      <c r="S20" s="135">
        <v>0.6</v>
      </c>
      <c r="T20" s="135">
        <v>99.41</v>
      </c>
      <c r="U20" s="78">
        <f>100/'2015 Totals'!U53*'2015 Totals'!U18</f>
        <v>1.9850825160039935</v>
      </c>
      <c r="V20" s="23">
        <v>65.13</v>
      </c>
      <c r="W20" s="137">
        <f t="shared" si="0"/>
        <v>34.870000000000005</v>
      </c>
    </row>
    <row r="21" spans="2:23" ht="12.75">
      <c r="B21" s="73" t="s">
        <v>245</v>
      </c>
      <c r="C21" s="121">
        <v>2</v>
      </c>
      <c r="D21" s="121">
        <v>3</v>
      </c>
      <c r="E21" s="122" t="s">
        <v>40</v>
      </c>
      <c r="F21" s="133">
        <v>19.49</v>
      </c>
      <c r="G21" s="133">
        <v>10.73</v>
      </c>
      <c r="H21" s="133">
        <v>7.06</v>
      </c>
      <c r="I21" s="133">
        <v>0</v>
      </c>
      <c r="J21" s="133">
        <v>18.64</v>
      </c>
      <c r="K21" s="133">
        <v>0</v>
      </c>
      <c r="L21" s="133">
        <v>27.12</v>
      </c>
      <c r="M21" s="133">
        <v>0.28</v>
      </c>
      <c r="N21" s="133">
        <v>0.28</v>
      </c>
      <c r="O21" s="133">
        <v>13.84</v>
      </c>
      <c r="P21" s="133">
        <v>0</v>
      </c>
      <c r="Q21" s="133">
        <v>1.41</v>
      </c>
      <c r="R21" s="133">
        <v>1.13</v>
      </c>
      <c r="S21" s="135">
        <v>0</v>
      </c>
      <c r="T21" s="135">
        <v>100</v>
      </c>
      <c r="U21" s="78">
        <f>100/'2015 Totals'!U53*'2015 Totals'!U19</f>
        <v>2.079050919128443</v>
      </c>
      <c r="V21" s="77">
        <v>63.1</v>
      </c>
      <c r="W21" s="137">
        <f t="shared" si="0"/>
        <v>36.9</v>
      </c>
    </row>
    <row r="22" spans="2:23" ht="12.75">
      <c r="B22" s="73" t="s">
        <v>245</v>
      </c>
      <c r="C22" s="122">
        <v>2</v>
      </c>
      <c r="D22" s="122">
        <v>3</v>
      </c>
      <c r="E22" s="122" t="s">
        <v>92</v>
      </c>
      <c r="F22" s="133">
        <v>21.6</v>
      </c>
      <c r="G22" s="133">
        <v>12.13</v>
      </c>
      <c r="H22" s="133">
        <v>8.28</v>
      </c>
      <c r="I22" s="133">
        <v>0</v>
      </c>
      <c r="J22" s="133">
        <v>14.5</v>
      </c>
      <c r="K22" s="133">
        <v>0</v>
      </c>
      <c r="L22" s="133">
        <v>27.22</v>
      </c>
      <c r="M22" s="133">
        <v>1.48</v>
      </c>
      <c r="N22" s="133">
        <v>0.3</v>
      </c>
      <c r="O22" s="133">
        <v>13.02</v>
      </c>
      <c r="P22" s="133">
        <v>0.3</v>
      </c>
      <c r="Q22" s="133">
        <v>1.18</v>
      </c>
      <c r="R22" s="133">
        <v>0</v>
      </c>
      <c r="S22" s="76">
        <v>1.74</v>
      </c>
      <c r="T22" s="76">
        <v>98.26</v>
      </c>
      <c r="U22" s="78">
        <f>100/'2015 Totals'!U53*'2015 Totals'!U20</f>
        <v>2.020320667175662</v>
      </c>
      <c r="V22" s="23">
        <v>63.59</v>
      </c>
      <c r="W22" s="137">
        <f t="shared" si="0"/>
        <v>36.41</v>
      </c>
    </row>
    <row r="23" spans="2:23" ht="12.75">
      <c r="B23" s="73" t="s">
        <v>168</v>
      </c>
      <c r="C23" s="122">
        <v>2</v>
      </c>
      <c r="D23" s="122">
        <v>4</v>
      </c>
      <c r="E23" s="122" t="s">
        <v>39</v>
      </c>
      <c r="F23" s="133">
        <v>14.16</v>
      </c>
      <c r="G23" s="133">
        <v>9.94</v>
      </c>
      <c r="H23" s="133">
        <v>9.3</v>
      </c>
      <c r="I23" s="133">
        <v>0</v>
      </c>
      <c r="J23" s="133">
        <v>18.39</v>
      </c>
      <c r="K23" s="133">
        <v>0.21</v>
      </c>
      <c r="L23" s="133">
        <v>32.77</v>
      </c>
      <c r="M23" s="133">
        <v>0.21</v>
      </c>
      <c r="N23" s="133">
        <v>0.63</v>
      </c>
      <c r="O23" s="133">
        <v>11.84</v>
      </c>
      <c r="P23" s="133">
        <v>0.63</v>
      </c>
      <c r="Q23" s="133">
        <v>1.27</v>
      </c>
      <c r="R23" s="133">
        <v>0.63</v>
      </c>
      <c r="S23" s="135">
        <v>1.87</v>
      </c>
      <c r="T23" s="135">
        <v>98.13</v>
      </c>
      <c r="U23" s="78">
        <f>100/'2015 Totals'!U53*'2015 Totals'!U21</f>
        <v>2.830798144124038</v>
      </c>
      <c r="V23" s="23">
        <v>60.86</v>
      </c>
      <c r="W23" s="137">
        <f t="shared" si="0"/>
        <v>39.14</v>
      </c>
    </row>
    <row r="24" spans="2:23" ht="12.75">
      <c r="B24" s="73" t="s">
        <v>168</v>
      </c>
      <c r="C24" s="121">
        <v>2</v>
      </c>
      <c r="D24" s="121">
        <v>4</v>
      </c>
      <c r="E24" s="122" t="s">
        <v>40</v>
      </c>
      <c r="F24" s="133">
        <v>15.71</v>
      </c>
      <c r="G24" s="133">
        <v>10.4</v>
      </c>
      <c r="H24" s="133">
        <v>9.34</v>
      </c>
      <c r="I24" s="133">
        <v>0</v>
      </c>
      <c r="J24" s="133">
        <v>18.26</v>
      </c>
      <c r="K24" s="133">
        <v>0.42</v>
      </c>
      <c r="L24" s="133">
        <v>30.79</v>
      </c>
      <c r="M24" s="133">
        <v>0.64</v>
      </c>
      <c r="N24" s="133">
        <v>0.42</v>
      </c>
      <c r="O24" s="133">
        <v>11.46</v>
      </c>
      <c r="P24" s="133">
        <v>0.42</v>
      </c>
      <c r="Q24" s="133">
        <v>1.7</v>
      </c>
      <c r="R24" s="136">
        <v>0.42</v>
      </c>
      <c r="S24" s="76">
        <v>1.26</v>
      </c>
      <c r="T24" s="76">
        <v>98.74</v>
      </c>
      <c r="U24" s="78">
        <f>100/'2015 Totals'!U53*'2015 Totals'!U22</f>
        <v>2.8014330181476477</v>
      </c>
      <c r="V24" s="23">
        <v>61.71</v>
      </c>
      <c r="W24" s="137">
        <f t="shared" si="0"/>
        <v>38.29</v>
      </c>
    </row>
    <row r="25" spans="2:23" ht="12.75">
      <c r="B25" s="73" t="s">
        <v>168</v>
      </c>
      <c r="C25" s="121">
        <v>2</v>
      </c>
      <c r="D25" s="121">
        <v>5</v>
      </c>
      <c r="E25" s="122" t="s">
        <v>39</v>
      </c>
      <c r="F25" s="133">
        <v>15.44</v>
      </c>
      <c r="G25" s="133">
        <v>8.1</v>
      </c>
      <c r="H25" s="133">
        <v>7.85</v>
      </c>
      <c r="I25" s="133">
        <v>0.25</v>
      </c>
      <c r="J25" s="133">
        <v>17.47</v>
      </c>
      <c r="K25" s="133">
        <v>0</v>
      </c>
      <c r="L25" s="133">
        <v>30.89</v>
      </c>
      <c r="M25" s="133">
        <v>1.27</v>
      </c>
      <c r="N25" s="133">
        <v>0.25</v>
      </c>
      <c r="O25" s="133">
        <v>15.95</v>
      </c>
      <c r="P25" s="133">
        <v>0.51</v>
      </c>
      <c r="Q25" s="133">
        <v>2.03</v>
      </c>
      <c r="R25" s="133">
        <v>0.25</v>
      </c>
      <c r="S25" s="135">
        <v>0</v>
      </c>
      <c r="T25" s="135">
        <v>100</v>
      </c>
      <c r="U25" s="78">
        <f>100/'2015 Totals'!U53*'2015 Totals'!U23</f>
        <v>2.3257179773301226</v>
      </c>
      <c r="V25" s="23">
        <v>67.81</v>
      </c>
      <c r="W25" s="137">
        <f t="shared" si="0"/>
        <v>32.19</v>
      </c>
    </row>
    <row r="26" spans="2:23" ht="12.75">
      <c r="B26" s="73" t="s">
        <v>168</v>
      </c>
      <c r="C26" s="121">
        <v>2</v>
      </c>
      <c r="D26" s="121">
        <v>5</v>
      </c>
      <c r="E26" s="122" t="s">
        <v>40</v>
      </c>
      <c r="F26" s="133">
        <v>22.99</v>
      </c>
      <c r="G26" s="133">
        <v>7.82</v>
      </c>
      <c r="H26" s="133">
        <v>5.21</v>
      </c>
      <c r="I26" s="133">
        <v>0</v>
      </c>
      <c r="J26" s="133">
        <v>18.96</v>
      </c>
      <c r="K26" s="133">
        <v>0.24</v>
      </c>
      <c r="L26" s="133">
        <v>25.36</v>
      </c>
      <c r="M26" s="133">
        <v>1.18</v>
      </c>
      <c r="N26" s="133">
        <v>0</v>
      </c>
      <c r="O26" s="133">
        <v>17.54</v>
      </c>
      <c r="P26" s="133">
        <v>0</v>
      </c>
      <c r="Q26" s="133">
        <v>0.47</v>
      </c>
      <c r="R26" s="136">
        <v>0.24</v>
      </c>
      <c r="S26" s="76">
        <v>0.71</v>
      </c>
      <c r="T26" s="76">
        <v>99.29</v>
      </c>
      <c r="U26" s="78">
        <f>100/'2015 Totals'!U53*'2015 Totals'!U24</f>
        <v>2.496035707993187</v>
      </c>
      <c r="V26" s="23">
        <v>70.36</v>
      </c>
      <c r="W26" s="137">
        <f t="shared" si="0"/>
        <v>29.64</v>
      </c>
    </row>
    <row r="27" spans="2:23" ht="12.75">
      <c r="B27" s="73" t="s">
        <v>168</v>
      </c>
      <c r="C27" s="121">
        <v>2</v>
      </c>
      <c r="D27" s="121">
        <v>5</v>
      </c>
      <c r="E27" s="122" t="s">
        <v>92</v>
      </c>
      <c r="F27" s="133">
        <v>18.81</v>
      </c>
      <c r="G27" s="133">
        <v>11.01</v>
      </c>
      <c r="H27" s="133">
        <v>5.28</v>
      </c>
      <c r="I27" s="133">
        <v>0</v>
      </c>
      <c r="J27" s="133">
        <v>22.02</v>
      </c>
      <c r="K27" s="133">
        <v>0</v>
      </c>
      <c r="L27" s="133">
        <v>25.96</v>
      </c>
      <c r="M27" s="133">
        <v>0.69</v>
      </c>
      <c r="N27" s="133">
        <v>0</v>
      </c>
      <c r="O27" s="133">
        <v>14.22</v>
      </c>
      <c r="P27" s="133">
        <v>0.23</v>
      </c>
      <c r="Q27" s="133">
        <v>1.38</v>
      </c>
      <c r="R27" s="133">
        <v>0.46</v>
      </c>
      <c r="S27" s="135">
        <v>0.23</v>
      </c>
      <c r="T27" s="135">
        <v>99.77</v>
      </c>
      <c r="U27" s="78">
        <f>100/'2015 Totals'!U53*'2015 Totals'!U25</f>
        <v>2.5665120103365244</v>
      </c>
      <c r="V27" s="77">
        <v>66.92</v>
      </c>
      <c r="W27" s="137">
        <f t="shared" si="0"/>
        <v>33.08</v>
      </c>
    </row>
    <row r="28" spans="2:23" ht="12.75">
      <c r="B28" s="73" t="s">
        <v>97</v>
      </c>
      <c r="C28" s="121">
        <v>3</v>
      </c>
      <c r="D28" s="121">
        <v>1</v>
      </c>
      <c r="E28" s="122" t="s">
        <v>39</v>
      </c>
      <c r="F28" s="133">
        <v>17.21</v>
      </c>
      <c r="G28" s="133">
        <v>18.03</v>
      </c>
      <c r="H28" s="133">
        <v>12.84</v>
      </c>
      <c r="I28" s="133">
        <v>0</v>
      </c>
      <c r="J28" s="133">
        <v>15.03</v>
      </c>
      <c r="K28" s="133">
        <v>0.27</v>
      </c>
      <c r="L28" s="133">
        <v>22.4</v>
      </c>
      <c r="M28" s="133">
        <v>0.82</v>
      </c>
      <c r="N28" s="133">
        <v>0.27</v>
      </c>
      <c r="O28" s="133">
        <v>11.75</v>
      </c>
      <c r="P28" s="133">
        <v>0</v>
      </c>
      <c r="Q28" s="133">
        <v>0.82</v>
      </c>
      <c r="R28" s="133">
        <v>0.55</v>
      </c>
      <c r="S28" s="135">
        <v>1.08</v>
      </c>
      <c r="T28" s="135">
        <v>98.92</v>
      </c>
      <c r="U28" s="78">
        <f>100/'2015 Totals'!U53*'2015 Totals'!U26</f>
        <v>2.1730193222528924</v>
      </c>
      <c r="V28" s="23">
        <v>68.27</v>
      </c>
      <c r="W28" s="137">
        <f t="shared" si="0"/>
        <v>31.730000000000004</v>
      </c>
    </row>
    <row r="29" spans="2:23" ht="12.75">
      <c r="B29" s="73" t="s">
        <v>97</v>
      </c>
      <c r="C29" s="121">
        <v>3</v>
      </c>
      <c r="D29" s="121">
        <v>1</v>
      </c>
      <c r="E29" s="122" t="s">
        <v>40</v>
      </c>
      <c r="F29" s="133">
        <v>20.24</v>
      </c>
      <c r="G29" s="133">
        <v>17.65</v>
      </c>
      <c r="H29" s="133">
        <v>11.53</v>
      </c>
      <c r="I29" s="133">
        <v>0</v>
      </c>
      <c r="J29" s="133">
        <v>13.88</v>
      </c>
      <c r="K29" s="133">
        <v>0</v>
      </c>
      <c r="L29" s="133">
        <v>22.59</v>
      </c>
      <c r="M29" s="133">
        <v>0.94</v>
      </c>
      <c r="N29" s="133">
        <v>0.24</v>
      </c>
      <c r="O29" s="133">
        <v>10.35</v>
      </c>
      <c r="P29" s="133">
        <v>0.47</v>
      </c>
      <c r="Q29" s="133">
        <v>1.41</v>
      </c>
      <c r="R29" s="133">
        <v>0.71</v>
      </c>
      <c r="S29" s="135">
        <v>0.47</v>
      </c>
      <c r="T29" s="135">
        <v>99.53</v>
      </c>
      <c r="U29" s="78">
        <f>100/'2015 Totals'!U53*'2015 Totals'!U27</f>
        <v>2.5077817583837434</v>
      </c>
      <c r="V29" s="23">
        <v>74.39</v>
      </c>
      <c r="W29" s="137">
        <f t="shared" si="0"/>
        <v>25.61</v>
      </c>
    </row>
    <row r="30" spans="2:23" ht="12.75">
      <c r="B30" s="73" t="s">
        <v>98</v>
      </c>
      <c r="C30" s="121">
        <v>3</v>
      </c>
      <c r="D30" s="121">
        <v>2</v>
      </c>
      <c r="E30" s="122" t="s">
        <v>39</v>
      </c>
      <c r="F30" s="133">
        <v>18.04</v>
      </c>
      <c r="G30" s="133">
        <v>8.02</v>
      </c>
      <c r="H30" s="133">
        <v>8.02</v>
      </c>
      <c r="I30" s="133">
        <v>0.2</v>
      </c>
      <c r="J30" s="133">
        <v>18.24</v>
      </c>
      <c r="K30" s="133">
        <v>0.2</v>
      </c>
      <c r="L30" s="133">
        <v>29.66</v>
      </c>
      <c r="M30" s="133">
        <v>1.8</v>
      </c>
      <c r="N30" s="133">
        <v>0.6</v>
      </c>
      <c r="O30" s="133">
        <v>12.83</v>
      </c>
      <c r="P30" s="133">
        <v>0.4</v>
      </c>
      <c r="Q30" s="133">
        <v>1.8</v>
      </c>
      <c r="R30" s="133">
        <v>0.2</v>
      </c>
      <c r="S30" s="135">
        <v>0.8</v>
      </c>
      <c r="T30" s="135">
        <v>99.2</v>
      </c>
      <c r="U30" s="78">
        <f>100/'2015 Totals'!U53*'2015 Totals'!U28</f>
        <v>2.954131673224878</v>
      </c>
      <c r="V30" s="23">
        <v>65.67</v>
      </c>
      <c r="W30" s="137">
        <f t="shared" si="0"/>
        <v>34.33</v>
      </c>
    </row>
    <row r="31" spans="2:23" ht="12.75">
      <c r="B31" s="73" t="s">
        <v>98</v>
      </c>
      <c r="C31" s="121">
        <v>3</v>
      </c>
      <c r="D31" s="121">
        <v>2</v>
      </c>
      <c r="E31" s="122" t="s">
        <v>40</v>
      </c>
      <c r="F31" s="133">
        <v>17.4</v>
      </c>
      <c r="G31" s="133">
        <v>14</v>
      </c>
      <c r="H31" s="133">
        <v>8.4</v>
      </c>
      <c r="I31" s="133">
        <v>0</v>
      </c>
      <c r="J31" s="133">
        <v>16.6</v>
      </c>
      <c r="K31" s="133">
        <v>0.6</v>
      </c>
      <c r="L31" s="133">
        <v>27</v>
      </c>
      <c r="M31" s="133">
        <v>1.2</v>
      </c>
      <c r="N31" s="133">
        <v>0.2</v>
      </c>
      <c r="O31" s="133">
        <v>13.2</v>
      </c>
      <c r="P31" s="133">
        <v>0.2</v>
      </c>
      <c r="Q31" s="133">
        <v>0.6</v>
      </c>
      <c r="R31" s="133">
        <v>0.6</v>
      </c>
      <c r="S31" s="135">
        <v>1.38</v>
      </c>
      <c r="T31" s="135">
        <v>98.62</v>
      </c>
      <c r="U31" s="78">
        <f>100/'2015 Totals'!U53*'2015 Totals'!U29</f>
        <v>2.9776237740059903</v>
      </c>
      <c r="V31" s="23">
        <v>66.97</v>
      </c>
      <c r="W31" s="137">
        <f t="shared" si="0"/>
        <v>33.03</v>
      </c>
    </row>
    <row r="32" spans="2:23" ht="12.75">
      <c r="B32" s="73" t="s">
        <v>170</v>
      </c>
      <c r="C32" s="121">
        <v>3</v>
      </c>
      <c r="D32" s="121">
        <v>3</v>
      </c>
      <c r="E32" s="122" t="s">
        <v>39</v>
      </c>
      <c r="F32" s="133">
        <v>17.52</v>
      </c>
      <c r="G32" s="133">
        <v>9.98</v>
      </c>
      <c r="H32" s="133">
        <v>12.9</v>
      </c>
      <c r="I32" s="133">
        <v>0</v>
      </c>
      <c r="J32" s="133">
        <v>15.09</v>
      </c>
      <c r="K32" s="133">
        <v>0</v>
      </c>
      <c r="L32" s="133">
        <v>23.84</v>
      </c>
      <c r="M32" s="133">
        <v>2.92</v>
      </c>
      <c r="N32" s="133">
        <v>0</v>
      </c>
      <c r="O32" s="133">
        <v>15.82</v>
      </c>
      <c r="P32" s="133">
        <v>0</v>
      </c>
      <c r="Q32" s="133">
        <v>1.46</v>
      </c>
      <c r="R32" s="133">
        <v>0.49</v>
      </c>
      <c r="S32" s="135">
        <v>0.96</v>
      </c>
      <c r="T32" s="135">
        <v>99.04</v>
      </c>
      <c r="U32" s="78">
        <f>100/'2015 Totals'!U53*'2015 Totals'!U30</f>
        <v>2.437305456040406</v>
      </c>
      <c r="V32" s="23">
        <v>62.59</v>
      </c>
      <c r="W32" s="137">
        <f t="shared" si="0"/>
        <v>37.41</v>
      </c>
    </row>
    <row r="33" spans="2:23" ht="12.75">
      <c r="B33" s="73" t="s">
        <v>170</v>
      </c>
      <c r="C33" s="121">
        <v>3</v>
      </c>
      <c r="D33" s="121">
        <v>3</v>
      </c>
      <c r="E33" s="121" t="s">
        <v>40</v>
      </c>
      <c r="F33" s="133">
        <v>15.46</v>
      </c>
      <c r="G33" s="133">
        <v>12.22</v>
      </c>
      <c r="H33" s="133">
        <v>15.46</v>
      </c>
      <c r="I33" s="133">
        <v>0.25</v>
      </c>
      <c r="J33" s="133">
        <v>15.46</v>
      </c>
      <c r="K33" s="133">
        <v>0</v>
      </c>
      <c r="L33" s="133">
        <v>21.7</v>
      </c>
      <c r="M33" s="133">
        <v>2.49</v>
      </c>
      <c r="N33" s="133">
        <v>0</v>
      </c>
      <c r="O33" s="133">
        <v>15.71</v>
      </c>
      <c r="P33" s="133">
        <v>0.25</v>
      </c>
      <c r="Q33" s="133">
        <v>0.25</v>
      </c>
      <c r="R33" s="133">
        <v>0.25</v>
      </c>
      <c r="S33" s="135">
        <v>0.5</v>
      </c>
      <c r="T33" s="135">
        <v>99.5</v>
      </c>
      <c r="U33" s="78">
        <f>100/'2015 Totals'!U53*'2015 Totals'!U31</f>
        <v>2.3668291536970694</v>
      </c>
      <c r="V33" s="23">
        <v>65.53</v>
      </c>
      <c r="W33" s="137">
        <f t="shared" si="0"/>
        <v>34.47</v>
      </c>
    </row>
    <row r="34" spans="2:23" ht="12.75">
      <c r="B34" s="73" t="s">
        <v>246</v>
      </c>
      <c r="C34" s="121">
        <v>3</v>
      </c>
      <c r="D34" s="121">
        <v>4</v>
      </c>
      <c r="E34" s="121" t="s">
        <v>39</v>
      </c>
      <c r="F34" s="133">
        <v>23.31</v>
      </c>
      <c r="G34" s="133">
        <v>11.28</v>
      </c>
      <c r="H34" s="133">
        <v>7.02</v>
      </c>
      <c r="I34" s="133">
        <v>0.25</v>
      </c>
      <c r="J34" s="133">
        <v>20.55</v>
      </c>
      <c r="K34" s="133">
        <v>0.25</v>
      </c>
      <c r="L34" s="133">
        <v>25.81</v>
      </c>
      <c r="M34" s="133">
        <v>0.75</v>
      </c>
      <c r="N34" s="133">
        <v>0.25</v>
      </c>
      <c r="O34" s="133">
        <v>9.27</v>
      </c>
      <c r="P34" s="133">
        <v>0</v>
      </c>
      <c r="Q34" s="133">
        <v>0.25</v>
      </c>
      <c r="R34" s="133">
        <v>1</v>
      </c>
      <c r="S34" s="135">
        <v>1.72</v>
      </c>
      <c r="T34" s="135">
        <v>98.28</v>
      </c>
      <c r="U34" s="78">
        <f>100/'2015 Totals'!U53*'2015 Totals'!U32</f>
        <v>2.3844482292829037</v>
      </c>
      <c r="V34" s="23">
        <v>67.11</v>
      </c>
      <c r="W34" s="137">
        <f t="shared" si="0"/>
        <v>32.89</v>
      </c>
    </row>
    <row r="35" spans="2:23" ht="12.75">
      <c r="B35" s="73" t="s">
        <v>246</v>
      </c>
      <c r="C35" s="121">
        <v>3</v>
      </c>
      <c r="D35" s="121">
        <v>4</v>
      </c>
      <c r="E35" s="122" t="s">
        <v>40</v>
      </c>
      <c r="F35" s="133">
        <v>21.55</v>
      </c>
      <c r="G35" s="133">
        <v>8.9</v>
      </c>
      <c r="H35" s="133">
        <v>7.73</v>
      </c>
      <c r="I35" s="133">
        <v>0.23</v>
      </c>
      <c r="J35" s="133">
        <v>18.03</v>
      </c>
      <c r="K35" s="133">
        <v>0.47</v>
      </c>
      <c r="L35" s="133">
        <v>29.27</v>
      </c>
      <c r="M35" s="133">
        <v>0.7</v>
      </c>
      <c r="N35" s="133">
        <v>0.23</v>
      </c>
      <c r="O35" s="133">
        <v>10.3</v>
      </c>
      <c r="P35" s="133">
        <v>0</v>
      </c>
      <c r="Q35" s="133">
        <v>2.11</v>
      </c>
      <c r="R35" s="133">
        <v>0.47</v>
      </c>
      <c r="S35" s="135">
        <v>2.06</v>
      </c>
      <c r="T35" s="135">
        <v>97.94</v>
      </c>
      <c r="U35" s="78">
        <f>100/'2015 Totals'!U53*'2015 Totals'!U33</f>
        <v>2.5606389851412463</v>
      </c>
      <c r="V35" s="23">
        <v>71.01</v>
      </c>
      <c r="W35" s="137">
        <f t="shared" si="0"/>
        <v>28.989999999999995</v>
      </c>
    </row>
    <row r="36" spans="2:23" ht="12.75">
      <c r="B36" s="73" t="s">
        <v>247</v>
      </c>
      <c r="C36" s="121">
        <v>3</v>
      </c>
      <c r="D36" s="121">
        <v>5</v>
      </c>
      <c r="E36" s="122" t="s">
        <v>39</v>
      </c>
      <c r="F36" s="133">
        <v>15.02</v>
      </c>
      <c r="G36" s="133">
        <v>15.65</v>
      </c>
      <c r="H36" s="133">
        <v>15.02</v>
      </c>
      <c r="I36" s="133">
        <v>0</v>
      </c>
      <c r="J36" s="133">
        <v>17.89</v>
      </c>
      <c r="K36" s="133">
        <v>0</v>
      </c>
      <c r="L36" s="133">
        <v>26.2</v>
      </c>
      <c r="M36" s="133">
        <v>0.64</v>
      </c>
      <c r="N36" s="133">
        <v>0</v>
      </c>
      <c r="O36" s="133">
        <v>7.99</v>
      </c>
      <c r="P36" s="133">
        <v>0</v>
      </c>
      <c r="Q36" s="133">
        <v>1.6</v>
      </c>
      <c r="R36" s="133">
        <v>0</v>
      </c>
      <c r="S36" s="135">
        <v>1.57</v>
      </c>
      <c r="T36" s="135">
        <v>98.43</v>
      </c>
      <c r="U36" s="78">
        <f>100/'2015 Totals'!U53*'2015 Totals'!U34</f>
        <v>1.867622012098432</v>
      </c>
      <c r="V36" s="77">
        <v>69.13</v>
      </c>
      <c r="W36" s="137">
        <f t="shared" si="0"/>
        <v>30.870000000000005</v>
      </c>
    </row>
    <row r="37" spans="2:23" ht="12.75">
      <c r="B37" s="73" t="s">
        <v>247</v>
      </c>
      <c r="C37" s="121">
        <v>3</v>
      </c>
      <c r="D37" s="121">
        <v>5</v>
      </c>
      <c r="E37" s="122" t="s">
        <v>40</v>
      </c>
      <c r="F37" s="133">
        <v>20.19</v>
      </c>
      <c r="G37" s="133">
        <v>17.03</v>
      </c>
      <c r="H37" s="133">
        <v>14.83</v>
      </c>
      <c r="I37" s="133">
        <v>0</v>
      </c>
      <c r="J37" s="133">
        <v>16.4</v>
      </c>
      <c r="K37" s="133">
        <v>0.32</v>
      </c>
      <c r="L37" s="133">
        <v>21.14</v>
      </c>
      <c r="M37" s="133">
        <v>1.26</v>
      </c>
      <c r="N37" s="133">
        <v>0</v>
      </c>
      <c r="O37" s="133">
        <v>7.57</v>
      </c>
      <c r="P37" s="133">
        <v>0.32</v>
      </c>
      <c r="Q37" s="133">
        <v>0</v>
      </c>
      <c r="R37" s="133">
        <v>0.95</v>
      </c>
      <c r="S37" s="135">
        <v>0.63</v>
      </c>
      <c r="T37" s="135">
        <v>99.37</v>
      </c>
      <c r="U37" s="78">
        <f>100/'2015 Totals'!U53*'2015 Totals'!U35</f>
        <v>1.87349503729371</v>
      </c>
      <c r="V37" s="77">
        <v>69.8</v>
      </c>
      <c r="W37" s="137">
        <f t="shared" si="0"/>
        <v>30.200000000000003</v>
      </c>
    </row>
    <row r="38" spans="2:23" ht="12.75">
      <c r="B38" s="73" t="s">
        <v>98</v>
      </c>
      <c r="C38" s="121">
        <v>3</v>
      </c>
      <c r="D38" s="121">
        <v>6</v>
      </c>
      <c r="E38" s="122" t="s">
        <v>39</v>
      </c>
      <c r="F38" s="133">
        <v>16.93</v>
      </c>
      <c r="G38" s="133">
        <v>19.92</v>
      </c>
      <c r="H38" s="133">
        <v>15.14</v>
      </c>
      <c r="I38" s="133">
        <v>0.2</v>
      </c>
      <c r="J38" s="133">
        <v>13.35</v>
      </c>
      <c r="K38" s="133">
        <v>0</v>
      </c>
      <c r="L38" s="133">
        <v>19.12</v>
      </c>
      <c r="M38" s="133">
        <v>1.39</v>
      </c>
      <c r="N38" s="133">
        <v>0.4</v>
      </c>
      <c r="O38" s="133">
        <v>12.35</v>
      </c>
      <c r="P38" s="133">
        <v>0</v>
      </c>
      <c r="Q38" s="133">
        <v>1</v>
      </c>
      <c r="R38" s="133">
        <v>0.2</v>
      </c>
      <c r="S38" s="135">
        <v>0</v>
      </c>
      <c r="T38" s="135">
        <v>100</v>
      </c>
      <c r="U38" s="78">
        <f>100/'2015 Totals'!U53*'2015 Totals'!U36</f>
        <v>2.9482586480296</v>
      </c>
      <c r="V38" s="77">
        <v>68.49</v>
      </c>
      <c r="W38" s="137">
        <f t="shared" si="0"/>
        <v>31.510000000000005</v>
      </c>
    </row>
    <row r="39" spans="2:23" ht="12.75">
      <c r="B39" s="73" t="s">
        <v>98</v>
      </c>
      <c r="C39" s="121">
        <v>3</v>
      </c>
      <c r="D39" s="121">
        <v>6</v>
      </c>
      <c r="E39" s="122" t="s">
        <v>40</v>
      </c>
      <c r="F39" s="133">
        <v>19.04</v>
      </c>
      <c r="G39" s="133">
        <v>19.46</v>
      </c>
      <c r="H39" s="133">
        <v>14.64</v>
      </c>
      <c r="I39" s="133">
        <v>0.21</v>
      </c>
      <c r="J39" s="133">
        <v>10.88</v>
      </c>
      <c r="K39" s="133">
        <v>0.63</v>
      </c>
      <c r="L39" s="133">
        <v>21.76</v>
      </c>
      <c r="M39" s="133">
        <v>1.05</v>
      </c>
      <c r="N39" s="133">
        <v>0.63</v>
      </c>
      <c r="O39" s="133">
        <v>9.62</v>
      </c>
      <c r="P39" s="133">
        <v>0.21</v>
      </c>
      <c r="Q39" s="133">
        <v>1.26</v>
      </c>
      <c r="R39" s="133">
        <v>0.63</v>
      </c>
      <c r="S39" s="135">
        <v>0.83</v>
      </c>
      <c r="T39" s="135">
        <v>99.17</v>
      </c>
      <c r="U39" s="78">
        <f>100/'2015 Totals'!U53*'2015 Totals'!U37</f>
        <v>2.830798144124038</v>
      </c>
      <c r="V39" s="77">
        <v>67.32</v>
      </c>
      <c r="W39" s="137">
        <f t="shared" si="0"/>
        <v>32.68000000000001</v>
      </c>
    </row>
    <row r="40" spans="2:23" ht="12.75">
      <c r="B40" s="73" t="s">
        <v>170</v>
      </c>
      <c r="C40" s="121">
        <v>3</v>
      </c>
      <c r="D40" s="121">
        <v>7</v>
      </c>
      <c r="E40" s="122" t="s">
        <v>39</v>
      </c>
      <c r="F40" s="133">
        <v>12.67</v>
      </c>
      <c r="G40" s="133">
        <v>9.25</v>
      </c>
      <c r="H40" s="133">
        <v>14.04</v>
      </c>
      <c r="I40" s="133">
        <v>0.34</v>
      </c>
      <c r="J40" s="133">
        <v>20.55</v>
      </c>
      <c r="K40" s="133">
        <v>0</v>
      </c>
      <c r="L40" s="133">
        <v>22.95</v>
      </c>
      <c r="M40" s="133">
        <v>1.37</v>
      </c>
      <c r="N40" s="133">
        <v>0.34</v>
      </c>
      <c r="O40" s="133">
        <v>15.75</v>
      </c>
      <c r="P40" s="133">
        <v>0.34</v>
      </c>
      <c r="Q40" s="133">
        <v>2.05</v>
      </c>
      <c r="R40" s="133">
        <v>0.34</v>
      </c>
      <c r="S40" s="135">
        <v>1.35</v>
      </c>
      <c r="T40" s="135">
        <v>98.65</v>
      </c>
      <c r="U40" s="78">
        <f>100/'2015 Totals'!U53*'2015 Totals'!U38</f>
        <v>1.7384154578023139</v>
      </c>
      <c r="V40" s="77">
        <v>65.78</v>
      </c>
      <c r="W40" s="137">
        <f t="shared" si="0"/>
        <v>34.22</v>
      </c>
    </row>
    <row r="41" spans="2:23" ht="12.75">
      <c r="B41" s="73" t="s">
        <v>170</v>
      </c>
      <c r="C41" s="121">
        <v>3</v>
      </c>
      <c r="D41" s="121">
        <v>7</v>
      </c>
      <c r="E41" s="122" t="s">
        <v>40</v>
      </c>
      <c r="F41" s="133">
        <v>13.61</v>
      </c>
      <c r="G41" s="133">
        <v>11.22</v>
      </c>
      <c r="H41" s="133">
        <v>11.22</v>
      </c>
      <c r="I41" s="133">
        <v>0.34</v>
      </c>
      <c r="J41" s="133">
        <v>21.09</v>
      </c>
      <c r="K41" s="133">
        <v>0</v>
      </c>
      <c r="L41" s="133">
        <v>21.09</v>
      </c>
      <c r="M41" s="133">
        <v>1.36</v>
      </c>
      <c r="N41" s="133">
        <v>0.34</v>
      </c>
      <c r="O41" s="133">
        <v>17.35</v>
      </c>
      <c r="P41" s="133">
        <v>0</v>
      </c>
      <c r="Q41" s="133">
        <v>2.04</v>
      </c>
      <c r="R41" s="133">
        <v>0.34</v>
      </c>
      <c r="S41" s="135">
        <v>0</v>
      </c>
      <c r="T41" s="135">
        <v>100</v>
      </c>
      <c r="U41" s="78">
        <f>100/'2015 Totals'!U53*'2015 Totals'!U39</f>
        <v>1.7266694074117577</v>
      </c>
      <c r="V41" s="77">
        <v>70</v>
      </c>
      <c r="W41" s="137">
        <f t="shared" si="0"/>
        <v>30</v>
      </c>
    </row>
    <row r="42" spans="2:23" ht="12.75">
      <c r="B42" s="73" t="s">
        <v>102</v>
      </c>
      <c r="C42" s="121">
        <v>3</v>
      </c>
      <c r="D42" s="121">
        <v>8</v>
      </c>
      <c r="E42" s="122" t="s">
        <v>39</v>
      </c>
      <c r="F42" s="133">
        <v>18.67</v>
      </c>
      <c r="G42" s="133">
        <v>6.96</v>
      </c>
      <c r="H42" s="133">
        <v>6.65</v>
      </c>
      <c r="I42" s="133">
        <v>0</v>
      </c>
      <c r="J42" s="133">
        <v>21.2</v>
      </c>
      <c r="K42" s="133">
        <v>0.63</v>
      </c>
      <c r="L42" s="133">
        <v>26.9</v>
      </c>
      <c r="M42" s="133">
        <v>0.32</v>
      </c>
      <c r="N42" s="133">
        <v>0.32</v>
      </c>
      <c r="O42" s="133">
        <v>16.46</v>
      </c>
      <c r="P42" s="133">
        <v>0</v>
      </c>
      <c r="Q42" s="133">
        <v>0.95</v>
      </c>
      <c r="R42" s="133">
        <v>0.95</v>
      </c>
      <c r="S42" s="135">
        <v>0.63</v>
      </c>
      <c r="T42" s="135">
        <v>99.37</v>
      </c>
      <c r="U42" s="78">
        <f>100/'2015 Totals'!U53*'2015 Totals'!U40</f>
        <v>1.867622012098432</v>
      </c>
      <c r="V42" s="77">
        <v>69.43</v>
      </c>
      <c r="W42" s="137">
        <f t="shared" si="0"/>
        <v>30.569999999999993</v>
      </c>
    </row>
    <row r="43" spans="2:23" ht="12.75">
      <c r="B43" s="73" t="s">
        <v>102</v>
      </c>
      <c r="C43" s="121">
        <v>3</v>
      </c>
      <c r="D43" s="121">
        <v>8</v>
      </c>
      <c r="E43" s="122" t="s">
        <v>40</v>
      </c>
      <c r="F43" s="133">
        <v>17.77</v>
      </c>
      <c r="G43" s="133">
        <v>6.35</v>
      </c>
      <c r="H43" s="133">
        <v>4.57</v>
      </c>
      <c r="I43" s="133">
        <v>0</v>
      </c>
      <c r="J43" s="133">
        <v>21.32</v>
      </c>
      <c r="K43" s="133">
        <v>0.51</v>
      </c>
      <c r="L43" s="133">
        <v>32.74</v>
      </c>
      <c r="M43" s="133">
        <v>0.51</v>
      </c>
      <c r="N43" s="133">
        <v>0</v>
      </c>
      <c r="O43" s="133">
        <v>14.47</v>
      </c>
      <c r="P43" s="133">
        <v>0</v>
      </c>
      <c r="Q43" s="133">
        <v>1.52</v>
      </c>
      <c r="R43" s="133">
        <v>0.25</v>
      </c>
      <c r="S43" s="135">
        <v>0.75</v>
      </c>
      <c r="T43" s="135">
        <v>99.24</v>
      </c>
      <c r="U43" s="78">
        <f>100/'2015 Totals'!U53*'2015 Totals'!U41</f>
        <v>2.3315910025254007</v>
      </c>
      <c r="V43" s="77">
        <v>68.92</v>
      </c>
      <c r="W43" s="137">
        <f t="shared" si="0"/>
        <v>31.08</v>
      </c>
    </row>
    <row r="44" spans="2:23" ht="12.75">
      <c r="B44" s="73" t="s">
        <v>102</v>
      </c>
      <c r="C44" s="121">
        <v>3</v>
      </c>
      <c r="D44" s="121">
        <v>8</v>
      </c>
      <c r="E44" s="122" t="s">
        <v>92</v>
      </c>
      <c r="F44" s="133">
        <v>21.2</v>
      </c>
      <c r="G44" s="133">
        <v>8.92</v>
      </c>
      <c r="H44" s="133">
        <v>6.99</v>
      </c>
      <c r="I44" s="133">
        <v>0</v>
      </c>
      <c r="J44" s="133">
        <v>18.55</v>
      </c>
      <c r="K44" s="133">
        <v>0</v>
      </c>
      <c r="L44" s="133">
        <v>28.67</v>
      </c>
      <c r="M44" s="133">
        <v>0.72</v>
      </c>
      <c r="N44" s="133">
        <v>0</v>
      </c>
      <c r="O44" s="133">
        <v>13.49</v>
      </c>
      <c r="P44" s="133">
        <v>0</v>
      </c>
      <c r="Q44" s="133">
        <v>1.2</v>
      </c>
      <c r="R44" s="133">
        <v>0.24</v>
      </c>
      <c r="S44" s="135">
        <v>0.72</v>
      </c>
      <c r="T44" s="135">
        <v>99.28</v>
      </c>
      <c r="U44" s="78">
        <f>100/'2015 Totals'!U53*'2015 Totals'!U42</f>
        <v>2.4549245316262405</v>
      </c>
      <c r="V44" s="77">
        <v>73.08</v>
      </c>
      <c r="W44" s="137">
        <f t="shared" si="0"/>
        <v>26.92</v>
      </c>
    </row>
    <row r="45" spans="2:23" ht="12.75">
      <c r="B45" s="73" t="s">
        <v>103</v>
      </c>
      <c r="C45" s="121">
        <v>3</v>
      </c>
      <c r="D45" s="121">
        <v>9</v>
      </c>
      <c r="E45" s="122" t="s">
        <v>39</v>
      </c>
      <c r="F45" s="133">
        <v>13.81</v>
      </c>
      <c r="G45" s="133">
        <v>12.79</v>
      </c>
      <c r="H45" s="133">
        <v>11.76</v>
      </c>
      <c r="I45" s="133">
        <v>0</v>
      </c>
      <c r="J45" s="133">
        <v>14.58</v>
      </c>
      <c r="K45" s="133">
        <v>0.26</v>
      </c>
      <c r="L45" s="133">
        <v>29.16</v>
      </c>
      <c r="M45" s="133">
        <v>1.79</v>
      </c>
      <c r="N45" s="133">
        <v>0</v>
      </c>
      <c r="O45" s="133">
        <v>13.3</v>
      </c>
      <c r="P45" s="133">
        <v>0.51</v>
      </c>
      <c r="Q45" s="133">
        <v>1.28</v>
      </c>
      <c r="R45" s="133">
        <v>0.77</v>
      </c>
      <c r="S45" s="135">
        <v>0.51</v>
      </c>
      <c r="T45" s="135">
        <v>99.49</v>
      </c>
      <c r="U45" s="78">
        <f>100/'2015 Totals'!U53*'2015 Totals'!U43</f>
        <v>2.3080989017442883</v>
      </c>
      <c r="V45" s="77">
        <v>66.84</v>
      </c>
      <c r="W45" s="137">
        <f t="shared" si="0"/>
        <v>33.16</v>
      </c>
    </row>
    <row r="46" spans="2:23" ht="12.75">
      <c r="B46" s="73" t="s">
        <v>103</v>
      </c>
      <c r="C46" s="121">
        <v>3</v>
      </c>
      <c r="D46" s="121">
        <v>9</v>
      </c>
      <c r="E46" s="122" t="s">
        <v>40</v>
      </c>
      <c r="F46" s="133">
        <v>11.79</v>
      </c>
      <c r="G46" s="133">
        <v>12.03</v>
      </c>
      <c r="H46" s="133">
        <v>11.79</v>
      </c>
      <c r="I46" s="133">
        <v>0.24</v>
      </c>
      <c r="J46" s="133">
        <v>18.16</v>
      </c>
      <c r="K46" s="133">
        <v>0</v>
      </c>
      <c r="L46" s="133">
        <v>25</v>
      </c>
      <c r="M46" s="133">
        <v>2.12</v>
      </c>
      <c r="N46" s="133">
        <v>0.24</v>
      </c>
      <c r="O46" s="133">
        <v>16.98</v>
      </c>
      <c r="P46" s="133">
        <v>0.24</v>
      </c>
      <c r="Q46" s="133">
        <v>1.18</v>
      </c>
      <c r="R46" s="136">
        <v>0.24</v>
      </c>
      <c r="S46" s="76">
        <v>1.85</v>
      </c>
      <c r="T46" s="76">
        <v>98.15</v>
      </c>
      <c r="U46" s="78">
        <f>100/'2015 Totals'!U53*'2015 Totals'!U44</f>
        <v>2.537146884360134</v>
      </c>
      <c r="V46" s="77">
        <v>69.34</v>
      </c>
      <c r="W46" s="137">
        <f t="shared" si="0"/>
        <v>30.659999999999997</v>
      </c>
    </row>
    <row r="47" spans="2:23" ht="12.75">
      <c r="B47" s="73" t="s">
        <v>102</v>
      </c>
      <c r="C47" s="121">
        <v>3</v>
      </c>
      <c r="D47" s="121">
        <v>10</v>
      </c>
      <c r="E47" s="122" t="s">
        <v>41</v>
      </c>
      <c r="F47" s="133">
        <v>19.16</v>
      </c>
      <c r="G47" s="133">
        <v>11.98</v>
      </c>
      <c r="H47" s="133">
        <v>9.38</v>
      </c>
      <c r="I47" s="133">
        <v>0</v>
      </c>
      <c r="J47" s="133">
        <v>21.36</v>
      </c>
      <c r="K47" s="133">
        <v>0.2</v>
      </c>
      <c r="L47" s="133">
        <v>26.95</v>
      </c>
      <c r="M47" s="133">
        <v>1</v>
      </c>
      <c r="N47" s="133">
        <v>0.2</v>
      </c>
      <c r="O47" s="133">
        <v>7.39</v>
      </c>
      <c r="P47" s="133">
        <v>0</v>
      </c>
      <c r="Q47" s="133">
        <v>1.8</v>
      </c>
      <c r="R47" s="133">
        <v>0.6</v>
      </c>
      <c r="S47" s="135">
        <v>0.6</v>
      </c>
      <c r="T47" s="135">
        <v>99.4</v>
      </c>
      <c r="U47" s="78">
        <f>100/'2015 Totals'!U53*'2015 Totals'!U45</f>
        <v>2.960004698420156</v>
      </c>
      <c r="V47" s="77">
        <v>75.56</v>
      </c>
      <c r="W47" s="137">
        <f t="shared" si="0"/>
        <v>24.439999999999998</v>
      </c>
    </row>
    <row r="48" spans="2:23" ht="12.75">
      <c r="B48" s="73" t="s">
        <v>246</v>
      </c>
      <c r="C48" s="121">
        <v>3</v>
      </c>
      <c r="D48" s="121">
        <v>11</v>
      </c>
      <c r="E48" s="122" t="s">
        <v>39</v>
      </c>
      <c r="F48" s="133">
        <v>18.52</v>
      </c>
      <c r="G48" s="133">
        <v>12.35</v>
      </c>
      <c r="H48" s="133">
        <v>11.42</v>
      </c>
      <c r="I48" s="133">
        <v>0</v>
      </c>
      <c r="J48" s="133">
        <v>25</v>
      </c>
      <c r="K48" s="133">
        <v>0</v>
      </c>
      <c r="L48" s="133">
        <v>18.52</v>
      </c>
      <c r="M48" s="133">
        <v>1.85</v>
      </c>
      <c r="N48" s="133">
        <v>0</v>
      </c>
      <c r="O48" s="133">
        <v>9.57</v>
      </c>
      <c r="P48" s="133">
        <v>0</v>
      </c>
      <c r="Q48" s="133">
        <v>2.16</v>
      </c>
      <c r="R48" s="133">
        <v>0.31</v>
      </c>
      <c r="S48" s="135">
        <v>1.22</v>
      </c>
      <c r="T48" s="135">
        <v>98.78</v>
      </c>
      <c r="U48" s="78">
        <f>100/'2015 Totals'!U53*'2015 Totals'!U46</f>
        <v>1.9263522640512127</v>
      </c>
      <c r="V48" s="77">
        <v>74.21</v>
      </c>
      <c r="W48" s="137">
        <f t="shared" si="0"/>
        <v>25.790000000000006</v>
      </c>
    </row>
    <row r="49" spans="2:23" ht="12.75">
      <c r="B49" s="73" t="s">
        <v>246</v>
      </c>
      <c r="C49" s="121">
        <v>3</v>
      </c>
      <c r="D49" s="121">
        <v>11</v>
      </c>
      <c r="E49" s="122" t="s">
        <v>40</v>
      </c>
      <c r="F49" s="133">
        <v>19.73</v>
      </c>
      <c r="G49" s="133">
        <v>9.59</v>
      </c>
      <c r="H49" s="133">
        <v>9.32</v>
      </c>
      <c r="I49" s="133">
        <v>0</v>
      </c>
      <c r="J49" s="133">
        <v>22.19</v>
      </c>
      <c r="K49" s="133">
        <v>0</v>
      </c>
      <c r="L49" s="133">
        <v>21.92</v>
      </c>
      <c r="M49" s="133">
        <v>0.82</v>
      </c>
      <c r="N49" s="133">
        <v>0.27</v>
      </c>
      <c r="O49" s="133">
        <v>13.7</v>
      </c>
      <c r="P49" s="133">
        <v>0.55</v>
      </c>
      <c r="Q49" s="133">
        <v>1.64</v>
      </c>
      <c r="R49" s="136">
        <v>0.27</v>
      </c>
      <c r="S49" s="76">
        <v>1.35</v>
      </c>
      <c r="T49" s="76">
        <v>98.65</v>
      </c>
      <c r="U49" s="78">
        <f>100/'2015 Totals'!U53*'2015 Totals'!U47</f>
        <v>2.1730193222528924</v>
      </c>
      <c r="V49" s="77">
        <v>71.15</v>
      </c>
      <c r="W49" s="137">
        <f t="shared" si="0"/>
        <v>28.849999999999994</v>
      </c>
    </row>
    <row r="50" spans="2:23" ht="12.75">
      <c r="B50" s="73" t="s">
        <v>248</v>
      </c>
      <c r="C50" s="121">
        <v>3</v>
      </c>
      <c r="D50" s="121">
        <v>12</v>
      </c>
      <c r="E50" s="122" t="s">
        <v>39</v>
      </c>
      <c r="F50" s="133">
        <v>15.24</v>
      </c>
      <c r="G50" s="133">
        <v>9.24</v>
      </c>
      <c r="H50" s="133">
        <v>8.78</v>
      </c>
      <c r="I50" s="133">
        <v>0</v>
      </c>
      <c r="J50" s="133">
        <v>16.63</v>
      </c>
      <c r="K50" s="133">
        <v>0.46</v>
      </c>
      <c r="L50" s="133">
        <v>29.79</v>
      </c>
      <c r="M50" s="133">
        <v>0.92</v>
      </c>
      <c r="N50" s="133">
        <v>0.23</v>
      </c>
      <c r="O50" s="133">
        <v>16.17</v>
      </c>
      <c r="P50" s="133">
        <v>0.92</v>
      </c>
      <c r="Q50" s="133">
        <v>1.62</v>
      </c>
      <c r="R50" s="133">
        <v>0</v>
      </c>
      <c r="S50" s="135">
        <v>0.92</v>
      </c>
      <c r="T50" s="135">
        <v>99.08</v>
      </c>
      <c r="U50" s="78">
        <f>100/'2015 Totals'!U53*'2015 Totals'!U48</f>
        <v>2.5665120103365244</v>
      </c>
      <c r="V50" s="77">
        <v>64.17</v>
      </c>
      <c r="W50" s="137">
        <f t="shared" si="0"/>
        <v>35.83</v>
      </c>
    </row>
    <row r="51" spans="2:23" ht="12.75">
      <c r="B51" s="73" t="s">
        <v>248</v>
      </c>
      <c r="C51" s="121">
        <v>3</v>
      </c>
      <c r="D51" s="121">
        <v>12</v>
      </c>
      <c r="E51" s="122" t="s">
        <v>40</v>
      </c>
      <c r="F51" s="133">
        <v>15.86</v>
      </c>
      <c r="G51" s="133">
        <v>8.74</v>
      </c>
      <c r="H51" s="133">
        <v>7.82</v>
      </c>
      <c r="I51" s="133">
        <v>0</v>
      </c>
      <c r="J51" s="133">
        <v>22.53</v>
      </c>
      <c r="K51" s="133">
        <v>0.23</v>
      </c>
      <c r="L51" s="133">
        <v>25.29</v>
      </c>
      <c r="M51" s="133">
        <v>0.23</v>
      </c>
      <c r="N51" s="133">
        <v>0.23</v>
      </c>
      <c r="O51" s="133">
        <v>17.24</v>
      </c>
      <c r="P51" s="133">
        <v>0</v>
      </c>
      <c r="Q51" s="133">
        <v>1.61</v>
      </c>
      <c r="R51" s="133">
        <v>0.23</v>
      </c>
      <c r="S51" s="135">
        <v>0.91</v>
      </c>
      <c r="T51" s="135">
        <v>99.09</v>
      </c>
      <c r="U51" s="78">
        <f>100/'2015 Totals'!U53*'2015 Totals'!U49</f>
        <v>2.5782580607270806</v>
      </c>
      <c r="V51" s="77">
        <v>66.41</v>
      </c>
      <c r="W51" s="137">
        <f t="shared" si="0"/>
        <v>33.59</v>
      </c>
    </row>
    <row r="52" spans="2:23" ht="12.75">
      <c r="B52" s="73" t="s">
        <v>248</v>
      </c>
      <c r="C52" s="121">
        <v>3</v>
      </c>
      <c r="D52" s="121">
        <v>13</v>
      </c>
      <c r="E52" s="122" t="s">
        <v>39</v>
      </c>
      <c r="F52" s="133">
        <v>17.63</v>
      </c>
      <c r="G52" s="133">
        <v>4.07</v>
      </c>
      <c r="H52" s="133">
        <v>7.8</v>
      </c>
      <c r="I52" s="133">
        <v>0</v>
      </c>
      <c r="J52" s="133">
        <v>18.64</v>
      </c>
      <c r="K52" s="133">
        <v>0</v>
      </c>
      <c r="L52" s="133">
        <v>31.86</v>
      </c>
      <c r="M52" s="133">
        <v>1.02</v>
      </c>
      <c r="N52" s="133">
        <v>0</v>
      </c>
      <c r="O52" s="133">
        <v>17.63</v>
      </c>
      <c r="P52" s="133">
        <v>0.68</v>
      </c>
      <c r="Q52" s="133">
        <v>0.34</v>
      </c>
      <c r="R52" s="133">
        <v>0.34</v>
      </c>
      <c r="S52" s="135">
        <v>0</v>
      </c>
      <c r="T52" s="135">
        <v>100</v>
      </c>
      <c r="U52" s="78">
        <f>100/'2015 Totals'!U53*'2015 Totals'!U50</f>
        <v>1.7325424326070358</v>
      </c>
      <c r="V52" s="77">
        <v>66.89</v>
      </c>
      <c r="W52" s="137">
        <f t="shared" si="0"/>
        <v>33.11</v>
      </c>
    </row>
    <row r="53" spans="2:23" ht="12.75">
      <c r="B53" s="73" t="s">
        <v>248</v>
      </c>
      <c r="C53" s="122">
        <v>3</v>
      </c>
      <c r="D53" s="122">
        <v>13</v>
      </c>
      <c r="E53" s="122" t="s">
        <v>40</v>
      </c>
      <c r="F53" s="133">
        <v>22.85</v>
      </c>
      <c r="G53" s="133">
        <v>5.24</v>
      </c>
      <c r="H53" s="133">
        <v>8.24</v>
      </c>
      <c r="I53" s="133">
        <v>0.75</v>
      </c>
      <c r="J53" s="133">
        <v>16.85</v>
      </c>
      <c r="K53" s="133">
        <v>0.37</v>
      </c>
      <c r="L53" s="133">
        <v>28.09</v>
      </c>
      <c r="M53" s="133">
        <v>0</v>
      </c>
      <c r="N53" s="133">
        <v>0</v>
      </c>
      <c r="O53" s="133">
        <v>16.1</v>
      </c>
      <c r="P53" s="133">
        <v>0</v>
      </c>
      <c r="Q53" s="133">
        <v>0.75</v>
      </c>
      <c r="R53" s="133">
        <v>0.75</v>
      </c>
      <c r="S53" s="135">
        <v>0</v>
      </c>
      <c r="T53" s="135">
        <v>100</v>
      </c>
      <c r="U53" s="78">
        <f>100/'2015 Totals'!U53*'2015 Totals'!U51</f>
        <v>1.5680977271392493</v>
      </c>
      <c r="V53" s="77">
        <v>72.95</v>
      </c>
      <c r="W53" s="137">
        <f t="shared" si="0"/>
        <v>27.049999999999997</v>
      </c>
    </row>
    <row r="54" spans="2:23" ht="12.75">
      <c r="B54" s="6"/>
      <c r="C54" s="7"/>
      <c r="D54" s="7"/>
      <c r="E54" s="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32"/>
      <c r="V54" s="77"/>
      <c r="W54" s="137"/>
    </row>
    <row r="55" spans="1:23" ht="12.75">
      <c r="A55" s="5"/>
      <c r="B55" s="9" t="s">
        <v>89</v>
      </c>
      <c r="C55" s="10"/>
      <c r="D55" s="10"/>
      <c r="E55" s="10"/>
      <c r="F55" s="78">
        <v>17.51</v>
      </c>
      <c r="G55" s="78">
        <v>12.5</v>
      </c>
      <c r="H55" s="78">
        <v>11.39</v>
      </c>
      <c r="I55" s="78">
        <v>0.1</v>
      </c>
      <c r="J55" s="78">
        <v>16.97</v>
      </c>
      <c r="K55" s="78">
        <v>0.19</v>
      </c>
      <c r="L55" s="78">
        <v>25.4</v>
      </c>
      <c r="M55" s="78">
        <v>1.23</v>
      </c>
      <c r="N55" s="78">
        <v>0.2</v>
      </c>
      <c r="O55" s="78">
        <v>12.55</v>
      </c>
      <c r="P55" s="78">
        <v>0.24</v>
      </c>
      <c r="Q55" s="78">
        <v>1.27</v>
      </c>
      <c r="R55" s="78">
        <v>0.44</v>
      </c>
      <c r="S55" s="78">
        <v>0.9</v>
      </c>
      <c r="T55" s="78">
        <v>99.09</v>
      </c>
      <c r="U55" s="81">
        <f>SUM(U10:U53)</f>
        <v>100</v>
      </c>
      <c r="V55" s="78">
        <v>67.43</v>
      </c>
      <c r="W55" s="141">
        <v>32.57</v>
      </c>
    </row>
    <row r="56" spans="2:23" ht="13.5" thickBot="1"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5"/>
    </row>
    <row r="58" spans="2:21" ht="12.75">
      <c r="B58" t="s">
        <v>157</v>
      </c>
      <c r="C58" s="52" t="s">
        <v>255</v>
      </c>
      <c r="D58" s="52"/>
      <c r="E58" s="52" t="s">
        <v>136</v>
      </c>
      <c r="F58" s="68"/>
      <c r="K58" s="52"/>
      <c r="L58" s="52"/>
      <c r="M58" s="52" t="s">
        <v>249</v>
      </c>
      <c r="N58" s="52"/>
      <c r="P58" s="52" t="s">
        <v>261</v>
      </c>
      <c r="U58" s="72"/>
    </row>
    <row r="59" spans="3:21" ht="12.75">
      <c r="C59" s="52" t="s">
        <v>256</v>
      </c>
      <c r="D59" s="52"/>
      <c r="E59" s="52" t="s">
        <v>171</v>
      </c>
      <c r="F59" s="52"/>
      <c r="G59" s="50"/>
      <c r="J59" s="43"/>
      <c r="K59" s="52"/>
      <c r="L59" s="52"/>
      <c r="M59" s="66" t="s">
        <v>252</v>
      </c>
      <c r="N59" s="66"/>
      <c r="O59" s="66"/>
      <c r="P59" s="66" t="s">
        <v>262</v>
      </c>
      <c r="Q59" s="43"/>
      <c r="R59" s="43"/>
      <c r="S59" s="43"/>
      <c r="T59" s="43"/>
      <c r="U59" s="42"/>
    </row>
    <row r="60" spans="3:16" ht="12.75">
      <c r="C60" s="52" t="s">
        <v>251</v>
      </c>
      <c r="D60" s="52"/>
      <c r="E60" s="52" t="s">
        <v>260</v>
      </c>
      <c r="F60" s="52"/>
      <c r="G60" s="50"/>
      <c r="K60" s="52"/>
      <c r="L60" s="52"/>
      <c r="M60" s="52" t="s">
        <v>118</v>
      </c>
      <c r="N60" s="52"/>
      <c r="P60" s="52" t="s">
        <v>186</v>
      </c>
    </row>
    <row r="61" spans="3:16" ht="12.75">
      <c r="C61" s="52" t="s">
        <v>257</v>
      </c>
      <c r="D61" s="52"/>
      <c r="E61" s="52" t="s">
        <v>258</v>
      </c>
      <c r="F61" s="52"/>
      <c r="G61" s="50"/>
      <c r="K61" s="52"/>
      <c r="L61" s="52"/>
      <c r="M61" s="52" t="s">
        <v>7</v>
      </c>
      <c r="N61" s="52"/>
      <c r="P61" s="52" t="s">
        <v>187</v>
      </c>
    </row>
    <row r="62" spans="3:16" ht="12.75">
      <c r="C62" s="52" t="s">
        <v>250</v>
      </c>
      <c r="D62" s="52"/>
      <c r="E62" s="52" t="s">
        <v>259</v>
      </c>
      <c r="F62" s="52"/>
      <c r="G62" s="50"/>
      <c r="K62" s="52"/>
      <c r="L62" s="52"/>
      <c r="M62" s="52" t="s">
        <v>253</v>
      </c>
      <c r="N62" s="52"/>
      <c r="P62" s="52" t="s">
        <v>253</v>
      </c>
    </row>
    <row r="63" spans="3:16" ht="12.75">
      <c r="C63" s="52" t="s">
        <v>110</v>
      </c>
      <c r="D63" s="52"/>
      <c r="E63" s="52" t="s">
        <v>184</v>
      </c>
      <c r="F63" s="52"/>
      <c r="G63" s="50"/>
      <c r="K63" s="52"/>
      <c r="L63" s="52"/>
      <c r="M63" s="52" t="s">
        <v>177</v>
      </c>
      <c r="N63" s="52"/>
      <c r="P63" s="52" t="s">
        <v>188</v>
      </c>
    </row>
    <row r="64" spans="6:16" ht="12.75">
      <c r="F64" s="52"/>
      <c r="G64" s="50"/>
      <c r="M64" s="52"/>
      <c r="N64" s="52"/>
      <c r="P64" s="52"/>
    </row>
    <row r="65" spans="3:16" ht="12.75">
      <c r="C65" s="52"/>
      <c r="D65" s="52"/>
      <c r="E65" s="52"/>
      <c r="F65" s="52"/>
      <c r="G65" s="50"/>
      <c r="M65" s="52"/>
      <c r="N65" s="68"/>
      <c r="P65" s="52"/>
    </row>
    <row r="66" spans="6:7" ht="12.75">
      <c r="F66" s="52"/>
      <c r="G66" s="50"/>
    </row>
    <row r="67" spans="3:7" ht="12.75">
      <c r="C67" s="52"/>
      <c r="D67" s="52"/>
      <c r="E67" s="51"/>
      <c r="F67" s="50"/>
      <c r="G67" s="50"/>
    </row>
    <row r="68" spans="3:7" ht="12.75">
      <c r="C68" s="52"/>
      <c r="D68" s="52"/>
      <c r="E68" s="51"/>
      <c r="F68" s="50"/>
      <c r="G68" s="50"/>
    </row>
    <row r="69" spans="3:7" ht="12.75">
      <c r="C69" s="52"/>
      <c r="D69" s="52"/>
      <c r="E69" s="51"/>
      <c r="F69" s="50"/>
      <c r="G69" s="50"/>
    </row>
    <row r="70" spans="3:7" ht="12.75">
      <c r="C70" s="52"/>
      <c r="D70" s="52"/>
      <c r="E70" s="51"/>
      <c r="F70" s="50"/>
      <c r="G70" s="50"/>
    </row>
    <row r="71" spans="3:7" ht="12.75">
      <c r="C71" s="52"/>
      <c r="D71" s="52"/>
      <c r="E71" s="51"/>
      <c r="F71" s="50"/>
      <c r="G71" s="50"/>
    </row>
    <row r="72" spans="5:7" ht="12.75">
      <c r="E72" s="51"/>
      <c r="F72" s="50"/>
      <c r="G72" s="50"/>
    </row>
    <row r="73" spans="5:7" ht="12.75">
      <c r="E73" s="51"/>
      <c r="F73" s="50"/>
      <c r="G73" s="50"/>
    </row>
    <row r="74" spans="5:7" ht="12.75">
      <c r="E74" s="51"/>
      <c r="F74" s="50"/>
      <c r="G74" s="50"/>
    </row>
    <row r="75" spans="5:7" ht="12.75">
      <c r="E75" s="51"/>
      <c r="F75" s="50"/>
      <c r="G75" s="50"/>
    </row>
    <row r="76" spans="5:7" ht="12.75">
      <c r="E76" s="51"/>
      <c r="F76" s="50"/>
      <c r="G76" s="50"/>
    </row>
    <row r="77" spans="5:7" ht="12.75">
      <c r="E77" s="51"/>
      <c r="F77" s="50"/>
      <c r="G77" s="50"/>
    </row>
    <row r="78" spans="5:7" ht="12.75">
      <c r="E78" s="51"/>
      <c r="F78" s="50"/>
      <c r="G78" s="50"/>
    </row>
    <row r="79" spans="5:7" ht="12.75">
      <c r="E79" s="51"/>
      <c r="F79" s="50"/>
      <c r="G79" s="50"/>
    </row>
    <row r="80" spans="5:7" ht="12.75">
      <c r="E80" s="51"/>
      <c r="F80" s="50"/>
      <c r="G80" s="50"/>
    </row>
    <row r="81" spans="5:7" ht="12.75">
      <c r="E81" s="51"/>
      <c r="F81" s="50"/>
      <c r="G81" s="50"/>
    </row>
    <row r="82" spans="5:7" ht="12.75">
      <c r="E82" s="51"/>
      <c r="F82" s="50"/>
      <c r="G82" s="50"/>
    </row>
    <row r="83" spans="5:7" ht="12.75">
      <c r="E83" s="51"/>
      <c r="F83" s="50"/>
      <c r="G83" s="50"/>
    </row>
    <row r="84" spans="5:7" ht="12.75">
      <c r="E84" s="51"/>
      <c r="F84" s="50"/>
      <c r="G84" s="50"/>
    </row>
    <row r="85" spans="5:7" ht="12.75">
      <c r="E85" s="51"/>
      <c r="F85" s="50"/>
      <c r="G85" s="50"/>
    </row>
    <row r="86" spans="3:7" ht="12.75">
      <c r="C86" s="44"/>
      <c r="F86" s="50"/>
      <c r="G86" s="50"/>
    </row>
  </sheetData>
  <sheetProtection/>
  <mergeCells count="3">
    <mergeCell ref="B1:M1"/>
    <mergeCell ref="B3:N3"/>
    <mergeCell ref="B4:D4"/>
  </mergeCells>
  <printOptions/>
  <pageMargins left="0.75" right="0.75" top="1" bottom="1" header="0" footer="0"/>
  <pageSetup fitToHeight="1" fitToWidth="1" horizontalDpi="600" verticalDpi="600" orientation="landscape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84"/>
  <sheetViews>
    <sheetView zoomScalePageLayoutView="0" workbookViewId="0" topLeftCell="W1">
      <selection activeCell="AU59" sqref="A1:AU59"/>
    </sheetView>
  </sheetViews>
  <sheetFormatPr defaultColWidth="11.421875" defaultRowHeight="12.75"/>
  <cols>
    <col min="1" max="1" width="40.28125" style="0" customWidth="1"/>
    <col min="2" max="2" width="8.7109375" style="0" customWidth="1"/>
    <col min="3" max="3" width="7.57421875" style="0" customWidth="1"/>
    <col min="4" max="4" width="7.7109375" style="0" customWidth="1"/>
    <col min="5" max="33" width="6.7109375" style="0" customWidth="1"/>
    <col min="34" max="34" width="8.140625" style="0" customWidth="1"/>
    <col min="35" max="45" width="6.7109375" style="0" customWidth="1"/>
    <col min="46" max="47" width="8.421875" style="0" customWidth="1"/>
  </cols>
  <sheetData>
    <row r="1" spans="1:47" ht="15">
      <c r="A1" s="150" t="s">
        <v>243</v>
      </c>
      <c r="B1" s="150"/>
      <c r="C1" s="150"/>
      <c r="D1" s="150"/>
      <c r="E1" s="150"/>
      <c r="F1" s="151"/>
      <c r="G1" s="151"/>
      <c r="H1" s="151"/>
      <c r="I1" s="151"/>
      <c r="J1" s="151"/>
      <c r="K1" s="151"/>
      <c r="L1" s="151"/>
      <c r="M1" s="2"/>
      <c r="AU1" s="85"/>
    </row>
    <row r="2" spans="1:47" ht="12.75">
      <c r="A2" s="53" t="s">
        <v>0</v>
      </c>
      <c r="B2" s="4"/>
      <c r="C2" s="1"/>
      <c r="D2" s="1"/>
      <c r="E2" s="1"/>
      <c r="G2" s="2"/>
      <c r="H2" s="2"/>
      <c r="I2" s="2"/>
      <c r="J2" s="2"/>
      <c r="K2" s="2"/>
      <c r="L2" s="2"/>
      <c r="M2" s="2"/>
      <c r="AU2" s="85"/>
    </row>
    <row r="3" spans="1:47" ht="12.75">
      <c r="A3" s="149" t="s">
        <v>90</v>
      </c>
      <c r="B3" s="149"/>
      <c r="C3" s="149"/>
      <c r="D3" s="149"/>
      <c r="E3" s="149"/>
      <c r="F3" s="148"/>
      <c r="G3" s="148"/>
      <c r="H3" s="148"/>
      <c r="I3" s="148"/>
      <c r="J3" s="148"/>
      <c r="K3" s="148"/>
      <c r="L3" s="148"/>
      <c r="M3" s="148"/>
      <c r="AU3" s="85"/>
    </row>
    <row r="4" spans="1:47" ht="12.75">
      <c r="A4" s="146" t="s">
        <v>1</v>
      </c>
      <c r="B4" s="146"/>
      <c r="C4" s="146"/>
      <c r="D4" s="1"/>
      <c r="E4" s="1"/>
      <c r="G4" s="2"/>
      <c r="H4" s="2"/>
      <c r="I4" s="2"/>
      <c r="J4" s="2"/>
      <c r="K4" s="2"/>
      <c r="L4" s="2"/>
      <c r="M4" s="2"/>
      <c r="AU4" s="85"/>
    </row>
    <row r="5" spans="12:47" ht="13.5" thickBot="1">
      <c r="L5" s="84"/>
      <c r="AU5" s="85"/>
    </row>
    <row r="6" spans="1:47" ht="15">
      <c r="A6" s="86" t="s">
        <v>191</v>
      </c>
      <c r="B6" s="87">
        <v>1</v>
      </c>
      <c r="C6" s="87">
        <v>1</v>
      </c>
      <c r="D6" s="88">
        <v>1</v>
      </c>
      <c r="E6" s="88">
        <v>1</v>
      </c>
      <c r="F6" s="87">
        <v>1</v>
      </c>
      <c r="G6" s="87">
        <v>1</v>
      </c>
      <c r="H6" s="87">
        <v>2</v>
      </c>
      <c r="I6" s="87">
        <v>2</v>
      </c>
      <c r="J6" s="87">
        <v>2</v>
      </c>
      <c r="K6" s="87">
        <v>2</v>
      </c>
      <c r="L6" s="89">
        <v>2</v>
      </c>
      <c r="M6" s="87">
        <v>2</v>
      </c>
      <c r="N6" s="87">
        <v>2</v>
      </c>
      <c r="O6" s="87">
        <v>2</v>
      </c>
      <c r="P6" s="87">
        <v>2</v>
      </c>
      <c r="Q6" s="87">
        <v>2</v>
      </c>
      <c r="R6" s="87">
        <v>2</v>
      </c>
      <c r="S6" s="87">
        <v>2</v>
      </c>
      <c r="T6" s="87">
        <v>3</v>
      </c>
      <c r="U6" s="87">
        <v>3</v>
      </c>
      <c r="V6" s="87">
        <v>3</v>
      </c>
      <c r="W6" s="87">
        <v>3</v>
      </c>
      <c r="X6" s="87">
        <v>3</v>
      </c>
      <c r="Y6" s="87">
        <v>3</v>
      </c>
      <c r="Z6" s="87">
        <v>3</v>
      </c>
      <c r="AA6" s="87">
        <v>3</v>
      </c>
      <c r="AB6" s="87">
        <v>3</v>
      </c>
      <c r="AC6" s="87">
        <v>3</v>
      </c>
      <c r="AD6" s="87">
        <v>3</v>
      </c>
      <c r="AE6" s="87">
        <v>3</v>
      </c>
      <c r="AF6" s="87">
        <v>3</v>
      </c>
      <c r="AG6" s="87">
        <v>3</v>
      </c>
      <c r="AH6" s="87">
        <v>3</v>
      </c>
      <c r="AI6" s="88">
        <v>3</v>
      </c>
      <c r="AJ6" s="87">
        <v>3</v>
      </c>
      <c r="AK6" s="87">
        <v>3</v>
      </c>
      <c r="AL6" s="87">
        <v>3</v>
      </c>
      <c r="AM6" s="87">
        <v>3</v>
      </c>
      <c r="AN6" s="87">
        <v>3</v>
      </c>
      <c r="AO6" s="87">
        <v>3</v>
      </c>
      <c r="AP6" s="87">
        <v>3</v>
      </c>
      <c r="AQ6" s="88">
        <v>3</v>
      </c>
      <c r="AR6" s="87">
        <v>3</v>
      </c>
      <c r="AS6" s="88">
        <v>3</v>
      </c>
      <c r="AT6" s="152" t="s">
        <v>26</v>
      </c>
      <c r="AU6" s="155" t="s">
        <v>46</v>
      </c>
    </row>
    <row r="7" spans="1:47" ht="15">
      <c r="A7" s="90" t="s">
        <v>192</v>
      </c>
      <c r="B7" s="91">
        <v>1</v>
      </c>
      <c r="C7" s="91">
        <v>1</v>
      </c>
      <c r="D7" s="92">
        <v>2</v>
      </c>
      <c r="E7" s="92">
        <v>2</v>
      </c>
      <c r="F7" s="91">
        <v>3</v>
      </c>
      <c r="G7" s="91">
        <v>3</v>
      </c>
      <c r="H7" s="91">
        <v>1</v>
      </c>
      <c r="I7" s="91">
        <v>1</v>
      </c>
      <c r="J7" s="91">
        <v>2</v>
      </c>
      <c r="K7" s="91">
        <v>2</v>
      </c>
      <c r="L7" s="93">
        <v>3</v>
      </c>
      <c r="M7" s="91">
        <v>3</v>
      </c>
      <c r="N7" s="91">
        <v>3</v>
      </c>
      <c r="O7" s="91">
        <v>4</v>
      </c>
      <c r="P7" s="91">
        <v>4</v>
      </c>
      <c r="Q7" s="91">
        <v>5</v>
      </c>
      <c r="R7" s="91">
        <v>5</v>
      </c>
      <c r="S7" s="91">
        <v>5</v>
      </c>
      <c r="T7" s="91">
        <v>1</v>
      </c>
      <c r="U7" s="91">
        <v>1</v>
      </c>
      <c r="V7" s="91">
        <v>2</v>
      </c>
      <c r="W7" s="91">
        <v>2</v>
      </c>
      <c r="X7" s="91">
        <v>3</v>
      </c>
      <c r="Y7" s="91">
        <v>3</v>
      </c>
      <c r="Z7" s="91">
        <v>4</v>
      </c>
      <c r="AA7" s="91">
        <v>4</v>
      </c>
      <c r="AB7" s="91">
        <v>5</v>
      </c>
      <c r="AC7" s="91">
        <v>5</v>
      </c>
      <c r="AD7" s="91">
        <v>6</v>
      </c>
      <c r="AE7" s="91">
        <v>6</v>
      </c>
      <c r="AF7" s="91">
        <v>7</v>
      </c>
      <c r="AG7" s="91">
        <v>7</v>
      </c>
      <c r="AH7" s="91">
        <v>8</v>
      </c>
      <c r="AI7" s="92">
        <v>8</v>
      </c>
      <c r="AJ7" s="91">
        <v>8</v>
      </c>
      <c r="AK7" s="91">
        <v>9</v>
      </c>
      <c r="AL7" s="91">
        <v>9</v>
      </c>
      <c r="AM7" s="91">
        <v>10</v>
      </c>
      <c r="AN7" s="91">
        <v>11</v>
      </c>
      <c r="AO7" s="91">
        <v>11</v>
      </c>
      <c r="AP7" s="91">
        <v>12</v>
      </c>
      <c r="AQ7" s="92">
        <v>12</v>
      </c>
      <c r="AR7" s="91">
        <v>13</v>
      </c>
      <c r="AS7" s="92">
        <v>13</v>
      </c>
      <c r="AT7" s="153"/>
      <c r="AU7" s="156"/>
    </row>
    <row r="8" spans="1:47" ht="15.75" thickBot="1">
      <c r="A8" s="94" t="s">
        <v>193</v>
      </c>
      <c r="B8" s="95" t="s">
        <v>39</v>
      </c>
      <c r="C8" s="95" t="s">
        <v>40</v>
      </c>
      <c r="D8" s="95" t="s">
        <v>39</v>
      </c>
      <c r="E8" s="95" t="s">
        <v>40</v>
      </c>
      <c r="F8" s="95" t="s">
        <v>39</v>
      </c>
      <c r="G8" s="95" t="s">
        <v>40</v>
      </c>
      <c r="H8" s="95" t="s">
        <v>39</v>
      </c>
      <c r="I8" s="95" t="s">
        <v>40</v>
      </c>
      <c r="J8" s="95" t="s">
        <v>39</v>
      </c>
      <c r="K8" s="95" t="s">
        <v>40</v>
      </c>
      <c r="L8" s="96" t="s">
        <v>39</v>
      </c>
      <c r="M8" s="95" t="s">
        <v>40</v>
      </c>
      <c r="N8" s="95" t="s">
        <v>92</v>
      </c>
      <c r="O8" s="97" t="s">
        <v>39</v>
      </c>
      <c r="P8" s="97" t="s">
        <v>40</v>
      </c>
      <c r="Q8" s="95" t="s">
        <v>39</v>
      </c>
      <c r="R8" s="95" t="s">
        <v>40</v>
      </c>
      <c r="S8" s="95" t="s">
        <v>92</v>
      </c>
      <c r="T8" s="95" t="s">
        <v>39</v>
      </c>
      <c r="U8" s="95" t="s">
        <v>40</v>
      </c>
      <c r="V8" s="95" t="s">
        <v>39</v>
      </c>
      <c r="W8" s="95" t="s">
        <v>40</v>
      </c>
      <c r="X8" s="95" t="s">
        <v>39</v>
      </c>
      <c r="Y8" s="95" t="s">
        <v>40</v>
      </c>
      <c r="Z8" s="95" t="s">
        <v>39</v>
      </c>
      <c r="AA8" s="95" t="s">
        <v>40</v>
      </c>
      <c r="AB8" s="95" t="s">
        <v>39</v>
      </c>
      <c r="AC8" s="95" t="s">
        <v>40</v>
      </c>
      <c r="AD8" s="95" t="s">
        <v>39</v>
      </c>
      <c r="AE8" s="95" t="s">
        <v>40</v>
      </c>
      <c r="AF8" s="95" t="s">
        <v>39</v>
      </c>
      <c r="AG8" s="95" t="s">
        <v>40</v>
      </c>
      <c r="AH8" s="95" t="s">
        <v>39</v>
      </c>
      <c r="AI8" s="95" t="s">
        <v>40</v>
      </c>
      <c r="AJ8" s="95" t="s">
        <v>92</v>
      </c>
      <c r="AK8" s="95" t="s">
        <v>39</v>
      </c>
      <c r="AL8" s="95" t="s">
        <v>40</v>
      </c>
      <c r="AM8" s="95" t="s">
        <v>41</v>
      </c>
      <c r="AN8" s="95" t="s">
        <v>39</v>
      </c>
      <c r="AO8" s="95" t="s">
        <v>40</v>
      </c>
      <c r="AP8" s="95" t="s">
        <v>39</v>
      </c>
      <c r="AQ8" s="95" t="s">
        <v>40</v>
      </c>
      <c r="AR8" s="95" t="s">
        <v>39</v>
      </c>
      <c r="AS8" s="95" t="s">
        <v>40</v>
      </c>
      <c r="AT8" s="154"/>
      <c r="AU8" s="157"/>
    </row>
    <row r="9" spans="1:47" ht="15" customHeight="1">
      <c r="A9" s="98" t="s">
        <v>199</v>
      </c>
      <c r="B9" s="106">
        <v>74</v>
      </c>
      <c r="C9" s="106">
        <v>87</v>
      </c>
      <c r="D9" s="106">
        <v>67</v>
      </c>
      <c r="E9" s="106">
        <v>87</v>
      </c>
      <c r="F9" s="106">
        <v>37</v>
      </c>
      <c r="G9" s="106">
        <v>49</v>
      </c>
      <c r="H9" s="106">
        <v>56</v>
      </c>
      <c r="I9" s="106">
        <v>54</v>
      </c>
      <c r="J9" s="106">
        <v>46</v>
      </c>
      <c r="K9" s="106">
        <v>75</v>
      </c>
      <c r="L9" s="106">
        <v>37</v>
      </c>
      <c r="M9" s="106">
        <v>27</v>
      </c>
      <c r="N9" s="106">
        <v>28</v>
      </c>
      <c r="O9" s="106">
        <v>49</v>
      </c>
      <c r="P9" s="106">
        <v>49</v>
      </c>
      <c r="Q9" s="106">
        <v>28</v>
      </c>
      <c r="R9" s="106">
        <v>21</v>
      </c>
      <c r="S9" s="106">
        <v>29</v>
      </c>
      <c r="T9" s="106">
        <v>46</v>
      </c>
      <c r="U9" s="106">
        <v>62</v>
      </c>
      <c r="V9" s="106">
        <v>48</v>
      </c>
      <c r="W9" s="106">
        <v>43</v>
      </c>
      <c r="X9" s="106">
        <v>59</v>
      </c>
      <c r="Y9" s="106">
        <v>62</v>
      </c>
      <c r="Z9" s="106">
        <v>23</v>
      </c>
      <c r="AA9" s="106">
        <v>30</v>
      </c>
      <c r="AB9" s="106">
        <v>55</v>
      </c>
      <c r="AC9" s="106">
        <v>44</v>
      </c>
      <c r="AD9" s="106">
        <v>88</v>
      </c>
      <c r="AE9" s="106">
        <v>72</v>
      </c>
      <c r="AF9" s="106">
        <v>45</v>
      </c>
      <c r="AG9" s="106">
        <v>36</v>
      </c>
      <c r="AH9" s="106">
        <v>25</v>
      </c>
      <c r="AI9" s="106">
        <v>20</v>
      </c>
      <c r="AJ9" s="106">
        <v>32</v>
      </c>
      <c r="AK9" s="106">
        <v>54</v>
      </c>
      <c r="AL9" s="106">
        <v>53</v>
      </c>
      <c r="AM9" s="106">
        <v>50</v>
      </c>
      <c r="AN9" s="106">
        <v>38</v>
      </c>
      <c r="AO9" s="106">
        <v>38</v>
      </c>
      <c r="AP9" s="106">
        <v>42</v>
      </c>
      <c r="AQ9" s="106">
        <v>40</v>
      </c>
      <c r="AR9" s="106">
        <v>28</v>
      </c>
      <c r="AS9" s="106">
        <v>22</v>
      </c>
      <c r="AT9" s="115">
        <f>SUM(B9:AS9)</f>
        <v>2055</v>
      </c>
      <c r="AU9" s="107">
        <v>4.79</v>
      </c>
    </row>
    <row r="10" spans="1:47" ht="15" customHeight="1">
      <c r="A10" s="99" t="s">
        <v>200</v>
      </c>
      <c r="B10" s="108">
        <v>70</v>
      </c>
      <c r="C10" s="108">
        <v>78</v>
      </c>
      <c r="D10" s="108">
        <v>58</v>
      </c>
      <c r="E10" s="108">
        <v>78</v>
      </c>
      <c r="F10" s="108">
        <v>33</v>
      </c>
      <c r="G10" s="108">
        <v>41</v>
      </c>
      <c r="H10" s="108">
        <v>47</v>
      </c>
      <c r="I10" s="108">
        <v>51</v>
      </c>
      <c r="J10" s="108">
        <v>48</v>
      </c>
      <c r="K10" s="108">
        <v>69</v>
      </c>
      <c r="L10" s="108">
        <v>34</v>
      </c>
      <c r="M10" s="108">
        <v>24</v>
      </c>
      <c r="N10" s="108">
        <v>23</v>
      </c>
      <c r="O10" s="108">
        <v>47</v>
      </c>
      <c r="P10" s="108">
        <v>46</v>
      </c>
      <c r="Q10" s="108">
        <v>28</v>
      </c>
      <c r="R10" s="108">
        <v>19</v>
      </c>
      <c r="S10" s="108">
        <v>28</v>
      </c>
      <c r="T10" s="108">
        <v>42</v>
      </c>
      <c r="U10" s="108">
        <v>57</v>
      </c>
      <c r="V10" s="108">
        <v>42</v>
      </c>
      <c r="W10" s="108">
        <v>40</v>
      </c>
      <c r="X10" s="108">
        <v>51</v>
      </c>
      <c r="Y10" s="108">
        <v>54</v>
      </c>
      <c r="Z10" s="108">
        <v>25</v>
      </c>
      <c r="AA10" s="108">
        <v>30</v>
      </c>
      <c r="AB10" s="108">
        <v>43</v>
      </c>
      <c r="AC10" s="108">
        <v>40</v>
      </c>
      <c r="AD10" s="108">
        <v>75</v>
      </c>
      <c r="AE10" s="108">
        <v>67</v>
      </c>
      <c r="AF10" s="108">
        <v>39</v>
      </c>
      <c r="AG10" s="108">
        <v>30</v>
      </c>
      <c r="AH10" s="108">
        <v>21</v>
      </c>
      <c r="AI10" s="108">
        <v>19</v>
      </c>
      <c r="AJ10" s="108">
        <v>27</v>
      </c>
      <c r="AK10" s="108">
        <v>46</v>
      </c>
      <c r="AL10" s="108">
        <v>45</v>
      </c>
      <c r="AM10" s="108">
        <v>39</v>
      </c>
      <c r="AN10" s="108">
        <v>37</v>
      </c>
      <c r="AO10" s="108">
        <v>35</v>
      </c>
      <c r="AP10" s="108">
        <v>37</v>
      </c>
      <c r="AQ10" s="108">
        <v>34</v>
      </c>
      <c r="AR10" s="108">
        <v>22</v>
      </c>
      <c r="AS10" s="108">
        <v>18</v>
      </c>
      <c r="AT10" s="108">
        <f>SUM(B10:AS10)</f>
        <v>1837</v>
      </c>
      <c r="AU10" s="109">
        <v>4.28</v>
      </c>
    </row>
    <row r="11" spans="1:47" ht="15" customHeight="1">
      <c r="A11" s="99" t="s">
        <v>201</v>
      </c>
      <c r="B11" s="108">
        <v>66</v>
      </c>
      <c r="C11" s="108">
        <v>78</v>
      </c>
      <c r="D11" s="108">
        <v>57</v>
      </c>
      <c r="E11" s="108">
        <v>76</v>
      </c>
      <c r="F11" s="108">
        <v>29</v>
      </c>
      <c r="G11" s="108">
        <v>38</v>
      </c>
      <c r="H11" s="108">
        <v>47</v>
      </c>
      <c r="I11" s="108">
        <v>49</v>
      </c>
      <c r="J11" s="108">
        <v>46</v>
      </c>
      <c r="K11" s="108">
        <v>67</v>
      </c>
      <c r="L11" s="108">
        <v>30</v>
      </c>
      <c r="M11" s="108">
        <v>25</v>
      </c>
      <c r="N11" s="108">
        <v>23</v>
      </c>
      <c r="O11" s="108">
        <v>43</v>
      </c>
      <c r="P11" s="108">
        <v>44</v>
      </c>
      <c r="Q11" s="108">
        <v>26</v>
      </c>
      <c r="R11" s="108">
        <v>19</v>
      </c>
      <c r="S11" s="108">
        <v>27</v>
      </c>
      <c r="T11" s="108">
        <v>42</v>
      </c>
      <c r="U11" s="108">
        <v>55</v>
      </c>
      <c r="V11" s="108">
        <v>42</v>
      </c>
      <c r="W11" s="108">
        <v>35</v>
      </c>
      <c r="X11" s="108">
        <v>50</v>
      </c>
      <c r="Y11" s="108">
        <v>46</v>
      </c>
      <c r="Z11" s="108">
        <v>24</v>
      </c>
      <c r="AA11" s="108">
        <v>27</v>
      </c>
      <c r="AB11" s="108">
        <v>39</v>
      </c>
      <c r="AC11" s="108">
        <v>36</v>
      </c>
      <c r="AD11" s="108">
        <v>71</v>
      </c>
      <c r="AE11" s="108">
        <v>64</v>
      </c>
      <c r="AF11" s="108">
        <v>35</v>
      </c>
      <c r="AG11" s="108">
        <v>26</v>
      </c>
      <c r="AH11" s="108">
        <v>20</v>
      </c>
      <c r="AI11" s="108">
        <v>19</v>
      </c>
      <c r="AJ11" s="108">
        <v>25</v>
      </c>
      <c r="AK11" s="108">
        <v>43</v>
      </c>
      <c r="AL11" s="108">
        <v>45</v>
      </c>
      <c r="AM11" s="108">
        <v>38</v>
      </c>
      <c r="AN11" s="108">
        <v>35</v>
      </c>
      <c r="AO11" s="108">
        <v>36</v>
      </c>
      <c r="AP11" s="108">
        <v>35</v>
      </c>
      <c r="AQ11" s="108">
        <v>31</v>
      </c>
      <c r="AR11" s="108">
        <v>21</v>
      </c>
      <c r="AS11" s="108">
        <v>16</v>
      </c>
      <c r="AT11" s="108">
        <f>SUM(B11:AS11)</f>
        <v>1746</v>
      </c>
      <c r="AU11" s="109">
        <v>4.07</v>
      </c>
    </row>
    <row r="12" spans="1:47" ht="37.5" customHeight="1">
      <c r="A12" s="100" t="s">
        <v>198</v>
      </c>
      <c r="B12" s="110"/>
      <c r="C12" s="110"/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0"/>
      <c r="X12" s="110"/>
      <c r="Y12" s="110"/>
      <c r="Z12" s="110"/>
      <c r="AA12" s="110"/>
      <c r="AB12" s="110"/>
      <c r="AC12" s="110"/>
      <c r="AD12" s="110"/>
      <c r="AE12" s="110"/>
      <c r="AF12" s="110"/>
      <c r="AG12" s="110"/>
      <c r="AH12" s="110"/>
      <c r="AI12" s="110"/>
      <c r="AJ12" s="110"/>
      <c r="AK12" s="110"/>
      <c r="AL12" s="110"/>
      <c r="AM12" s="110"/>
      <c r="AN12" s="110"/>
      <c r="AO12" s="110"/>
      <c r="AP12" s="110"/>
      <c r="AQ12" s="110"/>
      <c r="AR12" s="110"/>
      <c r="AS12" s="110"/>
      <c r="AT12" s="110"/>
      <c r="AU12" s="111"/>
    </row>
    <row r="13" spans="1:47" ht="15" customHeight="1">
      <c r="A13" s="101" t="s">
        <v>202</v>
      </c>
      <c r="B13" s="108">
        <v>5</v>
      </c>
      <c r="C13" s="108">
        <v>9</v>
      </c>
      <c r="D13" s="108">
        <v>4</v>
      </c>
      <c r="E13" s="108">
        <v>4</v>
      </c>
      <c r="F13" s="108">
        <v>1</v>
      </c>
      <c r="G13" s="108">
        <v>3</v>
      </c>
      <c r="H13" s="108">
        <v>2</v>
      </c>
      <c r="I13" s="108">
        <v>3</v>
      </c>
      <c r="J13" s="108">
        <v>4</v>
      </c>
      <c r="K13" s="108">
        <v>8</v>
      </c>
      <c r="L13" s="108">
        <v>2</v>
      </c>
      <c r="M13" s="108">
        <v>3</v>
      </c>
      <c r="N13" s="108">
        <v>5</v>
      </c>
      <c r="O13" s="108">
        <v>5</v>
      </c>
      <c r="P13" s="108">
        <v>4</v>
      </c>
      <c r="Q13" s="108">
        <v>0</v>
      </c>
      <c r="R13" s="108">
        <v>2</v>
      </c>
      <c r="S13" s="108">
        <v>2</v>
      </c>
      <c r="T13" s="108">
        <v>4</v>
      </c>
      <c r="U13" s="108">
        <v>4</v>
      </c>
      <c r="V13" s="108">
        <v>5</v>
      </c>
      <c r="W13" s="108">
        <v>7</v>
      </c>
      <c r="X13" s="108">
        <v>8</v>
      </c>
      <c r="Y13" s="108">
        <v>11</v>
      </c>
      <c r="Z13" s="108">
        <v>3</v>
      </c>
      <c r="AA13" s="108">
        <v>3</v>
      </c>
      <c r="AB13" s="108">
        <v>3</v>
      </c>
      <c r="AC13" s="108">
        <v>2</v>
      </c>
      <c r="AD13" s="108">
        <v>4</v>
      </c>
      <c r="AE13" s="108">
        <v>7</v>
      </c>
      <c r="AF13" s="108">
        <v>5</v>
      </c>
      <c r="AG13" s="108">
        <v>5</v>
      </c>
      <c r="AH13" s="108">
        <v>4</v>
      </c>
      <c r="AI13" s="108">
        <v>2</v>
      </c>
      <c r="AJ13" s="108">
        <v>2</v>
      </c>
      <c r="AK13" s="108">
        <v>6</v>
      </c>
      <c r="AL13" s="108">
        <v>11</v>
      </c>
      <c r="AM13" s="108">
        <v>6</v>
      </c>
      <c r="AN13" s="108">
        <v>6</v>
      </c>
      <c r="AO13" s="108">
        <v>1</v>
      </c>
      <c r="AP13" s="108">
        <v>10</v>
      </c>
      <c r="AQ13" s="108">
        <v>3</v>
      </c>
      <c r="AR13" s="108">
        <v>2</v>
      </c>
      <c r="AS13" s="108">
        <v>0</v>
      </c>
      <c r="AT13" s="108">
        <f>SUM(B13:AS13)</f>
        <v>190</v>
      </c>
      <c r="AU13" s="109">
        <v>0.44</v>
      </c>
    </row>
    <row r="14" spans="1:47" ht="15" customHeight="1">
      <c r="A14" s="101" t="s">
        <v>203</v>
      </c>
      <c r="B14" s="108">
        <v>3</v>
      </c>
      <c r="C14" s="108">
        <v>6</v>
      </c>
      <c r="D14" s="108">
        <v>2</v>
      </c>
      <c r="E14" s="108">
        <v>4</v>
      </c>
      <c r="F14" s="108">
        <v>0</v>
      </c>
      <c r="G14" s="108">
        <v>1</v>
      </c>
      <c r="H14" s="108">
        <v>1</v>
      </c>
      <c r="I14" s="108">
        <v>3</v>
      </c>
      <c r="J14" s="108">
        <v>3</v>
      </c>
      <c r="K14" s="108">
        <v>3</v>
      </c>
      <c r="L14" s="108">
        <v>2</v>
      </c>
      <c r="M14" s="108">
        <v>2</v>
      </c>
      <c r="N14" s="108">
        <v>5</v>
      </c>
      <c r="O14" s="108">
        <v>4</v>
      </c>
      <c r="P14" s="108">
        <v>1</v>
      </c>
      <c r="Q14" s="108">
        <v>0</v>
      </c>
      <c r="R14" s="108">
        <v>1</v>
      </c>
      <c r="S14" s="108">
        <v>2</v>
      </c>
      <c r="T14" s="108">
        <v>4</v>
      </c>
      <c r="U14" s="108">
        <v>3</v>
      </c>
      <c r="V14" s="108">
        <v>3</v>
      </c>
      <c r="W14" s="108">
        <v>5</v>
      </c>
      <c r="X14" s="108">
        <v>6</v>
      </c>
      <c r="Y14" s="108">
        <v>9</v>
      </c>
      <c r="Z14" s="108">
        <v>3</v>
      </c>
      <c r="AA14" s="108">
        <v>3</v>
      </c>
      <c r="AB14" s="108">
        <v>2</v>
      </c>
      <c r="AC14" s="108">
        <v>2</v>
      </c>
      <c r="AD14" s="108">
        <v>5</v>
      </c>
      <c r="AE14" s="108">
        <v>6</v>
      </c>
      <c r="AF14" s="108">
        <v>1</v>
      </c>
      <c r="AG14" s="108">
        <v>3</v>
      </c>
      <c r="AH14" s="108">
        <v>3</v>
      </c>
      <c r="AI14" s="108">
        <v>1</v>
      </c>
      <c r="AJ14" s="108">
        <v>2</v>
      </c>
      <c r="AK14" s="108">
        <v>4</v>
      </c>
      <c r="AL14" s="108">
        <v>10</v>
      </c>
      <c r="AM14" s="108">
        <v>5</v>
      </c>
      <c r="AN14" s="108">
        <v>4</v>
      </c>
      <c r="AO14" s="108">
        <v>0</v>
      </c>
      <c r="AP14" s="108">
        <v>7</v>
      </c>
      <c r="AQ14" s="108">
        <v>3</v>
      </c>
      <c r="AR14" s="108">
        <v>1</v>
      </c>
      <c r="AS14" s="108">
        <v>0</v>
      </c>
      <c r="AT14" s="108">
        <f>SUM(B14:AS14)</f>
        <v>138</v>
      </c>
      <c r="AU14" s="109">
        <v>0.32</v>
      </c>
    </row>
    <row r="15" spans="1:47" ht="15" customHeight="1">
      <c r="A15" s="101" t="s">
        <v>204</v>
      </c>
      <c r="B15" s="108">
        <v>3</v>
      </c>
      <c r="C15" s="108">
        <v>6</v>
      </c>
      <c r="D15" s="108">
        <v>2</v>
      </c>
      <c r="E15" s="108">
        <v>3</v>
      </c>
      <c r="F15" s="108">
        <v>1</v>
      </c>
      <c r="G15" s="108">
        <v>1</v>
      </c>
      <c r="H15" s="108">
        <v>1</v>
      </c>
      <c r="I15" s="108">
        <v>3</v>
      </c>
      <c r="J15" s="108">
        <v>2</v>
      </c>
      <c r="K15" s="108">
        <v>5</v>
      </c>
      <c r="L15" s="108">
        <v>3</v>
      </c>
      <c r="M15" s="108">
        <v>2</v>
      </c>
      <c r="N15" s="108">
        <v>5</v>
      </c>
      <c r="O15" s="108">
        <v>4</v>
      </c>
      <c r="P15" s="108">
        <v>2</v>
      </c>
      <c r="Q15" s="108">
        <v>0</v>
      </c>
      <c r="R15" s="108">
        <v>1</v>
      </c>
      <c r="S15" s="108">
        <v>2</v>
      </c>
      <c r="T15" s="108">
        <v>3</v>
      </c>
      <c r="U15" s="108">
        <v>2</v>
      </c>
      <c r="V15" s="108">
        <v>4</v>
      </c>
      <c r="W15" s="108">
        <v>4</v>
      </c>
      <c r="X15" s="108">
        <v>7</v>
      </c>
      <c r="Y15" s="108">
        <v>9</v>
      </c>
      <c r="Z15" s="108">
        <v>3</v>
      </c>
      <c r="AA15" s="108">
        <v>2</v>
      </c>
      <c r="AB15" s="108">
        <v>3</v>
      </c>
      <c r="AC15" s="108">
        <v>2</v>
      </c>
      <c r="AD15" s="108">
        <v>4</v>
      </c>
      <c r="AE15" s="108">
        <v>6</v>
      </c>
      <c r="AF15" s="108">
        <v>0</v>
      </c>
      <c r="AG15" s="108">
        <v>1</v>
      </c>
      <c r="AH15" s="108">
        <v>3</v>
      </c>
      <c r="AI15" s="108">
        <v>1</v>
      </c>
      <c r="AJ15" s="108">
        <v>2</v>
      </c>
      <c r="AK15" s="108">
        <v>6</v>
      </c>
      <c r="AL15" s="108">
        <v>10</v>
      </c>
      <c r="AM15" s="108">
        <v>4</v>
      </c>
      <c r="AN15" s="108">
        <v>6</v>
      </c>
      <c r="AO15" s="108">
        <v>0</v>
      </c>
      <c r="AP15" s="108">
        <v>6</v>
      </c>
      <c r="AQ15" s="108">
        <v>2</v>
      </c>
      <c r="AR15" s="108">
        <v>1</v>
      </c>
      <c r="AS15" s="108">
        <v>1</v>
      </c>
      <c r="AT15" s="108">
        <f>SUM(B15:AS15)</f>
        <v>138</v>
      </c>
      <c r="AU15" s="109">
        <v>0.32</v>
      </c>
    </row>
    <row r="16" spans="1:47" ht="24" customHeight="1">
      <c r="A16" s="100" t="s">
        <v>205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1"/>
    </row>
    <row r="17" spans="1:47" ht="15" customHeight="1">
      <c r="A17" s="101" t="s">
        <v>194</v>
      </c>
      <c r="B17" s="108">
        <v>37</v>
      </c>
      <c r="C17" s="108">
        <v>42</v>
      </c>
      <c r="D17" s="108">
        <v>38</v>
      </c>
      <c r="E17" s="108">
        <v>37</v>
      </c>
      <c r="F17" s="108">
        <v>77</v>
      </c>
      <c r="G17" s="108">
        <v>92</v>
      </c>
      <c r="H17" s="108">
        <v>32</v>
      </c>
      <c r="I17" s="108">
        <v>45</v>
      </c>
      <c r="J17" s="108">
        <v>68</v>
      </c>
      <c r="K17" s="108">
        <v>73</v>
      </c>
      <c r="L17" s="108">
        <v>48</v>
      </c>
      <c r="M17" s="108">
        <v>70</v>
      </c>
      <c r="N17" s="108">
        <v>69</v>
      </c>
      <c r="O17" s="108">
        <v>50</v>
      </c>
      <c r="P17" s="108">
        <v>68</v>
      </c>
      <c r="Q17" s="108">
        <v>59</v>
      </c>
      <c r="R17" s="108">
        <v>91</v>
      </c>
      <c r="S17" s="108">
        <v>88</v>
      </c>
      <c r="T17" s="108">
        <v>53</v>
      </c>
      <c r="U17" s="108">
        <v>84</v>
      </c>
      <c r="V17" s="108">
        <v>84</v>
      </c>
      <c r="W17" s="108">
        <v>81</v>
      </c>
      <c r="X17" s="108">
        <v>59</v>
      </c>
      <c r="Y17" s="108">
        <v>58</v>
      </c>
      <c r="Z17" s="108">
        <v>92</v>
      </c>
      <c r="AA17" s="108">
        <v>88</v>
      </c>
      <c r="AB17" s="108">
        <v>46</v>
      </c>
      <c r="AC17" s="108">
        <v>57</v>
      </c>
      <c r="AD17" s="108">
        <v>82</v>
      </c>
      <c r="AE17" s="108">
        <v>92</v>
      </c>
      <c r="AF17" s="108">
        <v>42</v>
      </c>
      <c r="AG17" s="108">
        <v>36</v>
      </c>
      <c r="AH17" s="108">
        <v>57</v>
      </c>
      <c r="AI17" s="108">
        <v>64</v>
      </c>
      <c r="AJ17" s="108">
        <v>78</v>
      </c>
      <c r="AK17" s="108">
        <v>46</v>
      </c>
      <c r="AL17" s="108">
        <v>41</v>
      </c>
      <c r="AM17" s="108">
        <v>97</v>
      </c>
      <c r="AN17" s="108">
        <v>48</v>
      </c>
      <c r="AO17" s="108">
        <v>66</v>
      </c>
      <c r="AP17" s="108">
        <v>62</v>
      </c>
      <c r="AQ17" s="108">
        <v>60</v>
      </c>
      <c r="AR17" s="108">
        <v>47</v>
      </c>
      <c r="AS17" s="108">
        <v>52</v>
      </c>
      <c r="AT17" s="108">
        <f>SUM(B17:AS17)</f>
        <v>2756</v>
      </c>
      <c r="AU17" s="109">
        <v>6.43</v>
      </c>
    </row>
    <row r="18" spans="1:47" ht="15" customHeight="1">
      <c r="A18" s="101" t="s">
        <v>207</v>
      </c>
      <c r="B18" s="108">
        <v>37</v>
      </c>
      <c r="C18" s="108">
        <v>36</v>
      </c>
      <c r="D18" s="108">
        <v>36</v>
      </c>
      <c r="E18" s="108">
        <v>36</v>
      </c>
      <c r="F18" s="108">
        <v>69</v>
      </c>
      <c r="G18" s="108">
        <v>91</v>
      </c>
      <c r="H18" s="108">
        <v>29</v>
      </c>
      <c r="I18" s="108">
        <v>43</v>
      </c>
      <c r="J18" s="108">
        <v>62</v>
      </c>
      <c r="K18" s="108">
        <v>71</v>
      </c>
      <c r="L18" s="108">
        <v>45</v>
      </c>
      <c r="M18" s="108">
        <v>70</v>
      </c>
      <c r="N18" s="108">
        <v>63</v>
      </c>
      <c r="O18" s="108">
        <v>46</v>
      </c>
      <c r="P18" s="108">
        <v>69</v>
      </c>
      <c r="Q18" s="108">
        <v>62</v>
      </c>
      <c r="R18" s="108">
        <v>87</v>
      </c>
      <c r="S18" s="108">
        <v>81</v>
      </c>
      <c r="T18" s="108">
        <v>55</v>
      </c>
      <c r="U18" s="108">
        <v>77</v>
      </c>
      <c r="V18" s="108">
        <v>81</v>
      </c>
      <c r="W18" s="108">
        <v>81</v>
      </c>
      <c r="X18" s="108">
        <v>54</v>
      </c>
      <c r="Y18" s="108">
        <v>57</v>
      </c>
      <c r="Z18" s="108">
        <v>89</v>
      </c>
      <c r="AA18" s="108">
        <v>78</v>
      </c>
      <c r="AB18" s="108">
        <v>51</v>
      </c>
      <c r="AC18" s="108">
        <v>59</v>
      </c>
      <c r="AD18" s="108">
        <v>80</v>
      </c>
      <c r="AE18" s="108">
        <v>87</v>
      </c>
      <c r="AF18" s="108">
        <v>37</v>
      </c>
      <c r="AG18" s="108">
        <v>32</v>
      </c>
      <c r="AH18" s="108">
        <v>56</v>
      </c>
      <c r="AI18" s="108">
        <v>62</v>
      </c>
      <c r="AJ18" s="108">
        <v>77</v>
      </c>
      <c r="AK18" s="108">
        <v>44</v>
      </c>
      <c r="AL18" s="108">
        <v>33</v>
      </c>
      <c r="AM18" s="108">
        <v>91</v>
      </c>
      <c r="AN18" s="108">
        <v>50</v>
      </c>
      <c r="AO18" s="108">
        <v>64</v>
      </c>
      <c r="AP18" s="108">
        <v>57</v>
      </c>
      <c r="AQ18" s="108">
        <v>59</v>
      </c>
      <c r="AR18" s="108">
        <v>46</v>
      </c>
      <c r="AS18" s="108">
        <v>53</v>
      </c>
      <c r="AT18" s="108">
        <f>SUM(B18:AS18)</f>
        <v>2643</v>
      </c>
      <c r="AU18" s="109">
        <v>6.16</v>
      </c>
    </row>
    <row r="19" spans="1:47" ht="15" customHeight="1">
      <c r="A19" s="101" t="s">
        <v>208</v>
      </c>
      <c r="B19" s="108">
        <v>37</v>
      </c>
      <c r="C19" s="108">
        <v>35</v>
      </c>
      <c r="D19" s="108">
        <v>36</v>
      </c>
      <c r="E19" s="108">
        <v>36</v>
      </c>
      <c r="F19" s="108">
        <v>70</v>
      </c>
      <c r="G19" s="108">
        <v>87</v>
      </c>
      <c r="H19" s="108">
        <v>28</v>
      </c>
      <c r="I19" s="108">
        <v>41</v>
      </c>
      <c r="J19" s="108">
        <v>63</v>
      </c>
      <c r="K19" s="108">
        <v>69</v>
      </c>
      <c r="L19" s="108">
        <v>42</v>
      </c>
      <c r="M19" s="108">
        <v>64</v>
      </c>
      <c r="N19" s="108">
        <v>62</v>
      </c>
      <c r="O19" s="108">
        <v>46</v>
      </c>
      <c r="P19" s="108">
        <v>66</v>
      </c>
      <c r="Q19" s="108">
        <v>57</v>
      </c>
      <c r="R19" s="108">
        <v>89</v>
      </c>
      <c r="S19" s="108">
        <v>78</v>
      </c>
      <c r="T19" s="108">
        <v>54</v>
      </c>
      <c r="U19" s="108">
        <v>79</v>
      </c>
      <c r="V19" s="108">
        <v>73</v>
      </c>
      <c r="W19" s="108">
        <v>76</v>
      </c>
      <c r="X19" s="108">
        <v>57</v>
      </c>
      <c r="Y19" s="108">
        <v>58</v>
      </c>
      <c r="Z19" s="108">
        <v>84</v>
      </c>
      <c r="AA19" s="108">
        <v>75</v>
      </c>
      <c r="AB19" s="108">
        <v>44</v>
      </c>
      <c r="AC19" s="108">
        <v>51</v>
      </c>
      <c r="AD19" s="108">
        <v>74</v>
      </c>
      <c r="AE19" s="108">
        <v>84</v>
      </c>
      <c r="AF19" s="108">
        <v>33</v>
      </c>
      <c r="AG19" s="108">
        <v>30</v>
      </c>
      <c r="AH19" s="108">
        <v>52</v>
      </c>
      <c r="AI19" s="108">
        <v>62</v>
      </c>
      <c r="AJ19" s="108">
        <v>73</v>
      </c>
      <c r="AK19" s="108">
        <v>43</v>
      </c>
      <c r="AL19" s="108">
        <v>32</v>
      </c>
      <c r="AM19" s="108">
        <v>82</v>
      </c>
      <c r="AN19" s="108">
        <v>44</v>
      </c>
      <c r="AO19" s="108">
        <v>62</v>
      </c>
      <c r="AP19" s="108">
        <v>56</v>
      </c>
      <c r="AQ19" s="108">
        <v>57</v>
      </c>
      <c r="AR19" s="108">
        <v>45</v>
      </c>
      <c r="AS19" s="108">
        <v>51</v>
      </c>
      <c r="AT19" s="108">
        <f>SUM(B19:AS19)</f>
        <v>2537</v>
      </c>
      <c r="AU19" s="109">
        <v>5.92</v>
      </c>
    </row>
    <row r="20" spans="1:47" ht="27" customHeight="1">
      <c r="A20" s="100" t="s">
        <v>206</v>
      </c>
      <c r="B20" s="110"/>
      <c r="C20" s="110"/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0"/>
      <c r="U20" s="110"/>
      <c r="V20" s="110"/>
      <c r="W20" s="110"/>
      <c r="X20" s="110"/>
      <c r="Y20" s="110"/>
      <c r="Z20" s="110"/>
      <c r="AA20" s="110"/>
      <c r="AB20" s="110"/>
      <c r="AC20" s="110"/>
      <c r="AD20" s="110"/>
      <c r="AE20" s="110"/>
      <c r="AF20" s="110"/>
      <c r="AG20" s="110"/>
      <c r="AH20" s="110"/>
      <c r="AI20" s="110"/>
      <c r="AJ20" s="110"/>
      <c r="AK20" s="110"/>
      <c r="AL20" s="110"/>
      <c r="AM20" s="110"/>
      <c r="AN20" s="110"/>
      <c r="AO20" s="110"/>
      <c r="AP20" s="110"/>
      <c r="AQ20" s="110"/>
      <c r="AR20" s="110"/>
      <c r="AS20" s="110"/>
      <c r="AT20" s="110"/>
      <c r="AU20" s="111"/>
    </row>
    <row r="21" spans="1:47" ht="15" customHeight="1">
      <c r="A21" s="101" t="s">
        <v>210</v>
      </c>
      <c r="B21" s="108">
        <v>34</v>
      </c>
      <c r="C21" s="108">
        <v>47</v>
      </c>
      <c r="D21" s="108">
        <v>50</v>
      </c>
      <c r="E21" s="108">
        <v>59</v>
      </c>
      <c r="F21" s="108">
        <v>94</v>
      </c>
      <c r="G21" s="108">
        <v>100</v>
      </c>
      <c r="H21" s="108">
        <v>44</v>
      </c>
      <c r="I21" s="108">
        <v>39</v>
      </c>
      <c r="J21" s="108">
        <v>56</v>
      </c>
      <c r="K21" s="108">
        <v>83</v>
      </c>
      <c r="L21" s="108">
        <v>85</v>
      </c>
      <c r="M21" s="108">
        <v>86</v>
      </c>
      <c r="N21" s="108">
        <v>70</v>
      </c>
      <c r="O21" s="108">
        <v>128</v>
      </c>
      <c r="P21" s="108">
        <v>121</v>
      </c>
      <c r="Q21" s="108">
        <v>99</v>
      </c>
      <c r="R21" s="108">
        <v>94</v>
      </c>
      <c r="S21" s="108">
        <v>92</v>
      </c>
      <c r="T21" s="108">
        <v>67</v>
      </c>
      <c r="U21" s="108">
        <v>61</v>
      </c>
      <c r="V21" s="108">
        <v>123</v>
      </c>
      <c r="W21" s="108">
        <v>119</v>
      </c>
      <c r="X21" s="108">
        <v>90</v>
      </c>
      <c r="Y21" s="108">
        <v>89</v>
      </c>
      <c r="Z21" s="108">
        <v>75</v>
      </c>
      <c r="AA21" s="108">
        <v>112</v>
      </c>
      <c r="AB21" s="108">
        <v>67</v>
      </c>
      <c r="AC21" s="108">
        <v>53</v>
      </c>
      <c r="AD21" s="108">
        <v>82</v>
      </c>
      <c r="AE21" s="108">
        <v>87</v>
      </c>
      <c r="AF21" s="108">
        <v>48</v>
      </c>
      <c r="AG21" s="108">
        <v>61</v>
      </c>
      <c r="AH21" s="108">
        <v>79</v>
      </c>
      <c r="AI21" s="108">
        <v>111</v>
      </c>
      <c r="AJ21" s="108">
        <v>107</v>
      </c>
      <c r="AK21" s="108">
        <v>98</v>
      </c>
      <c r="AL21" s="108">
        <v>93</v>
      </c>
      <c r="AM21" s="108">
        <v>112</v>
      </c>
      <c r="AN21" s="108">
        <v>51</v>
      </c>
      <c r="AO21" s="108">
        <v>63</v>
      </c>
      <c r="AP21" s="108">
        <v>104</v>
      </c>
      <c r="AQ21" s="108">
        <v>79</v>
      </c>
      <c r="AR21" s="108">
        <v>80</v>
      </c>
      <c r="AS21" s="108">
        <v>57</v>
      </c>
      <c r="AT21" s="108">
        <f>SUM(B21:AS21)</f>
        <v>3549</v>
      </c>
      <c r="AU21" s="109">
        <v>8.28</v>
      </c>
    </row>
    <row r="22" spans="1:47" ht="15" customHeight="1">
      <c r="A22" s="101" t="s">
        <v>211</v>
      </c>
      <c r="B22" s="108">
        <v>23</v>
      </c>
      <c r="C22" s="108">
        <v>35</v>
      </c>
      <c r="D22" s="108">
        <v>37</v>
      </c>
      <c r="E22" s="108">
        <v>44</v>
      </c>
      <c r="F22" s="108">
        <v>77</v>
      </c>
      <c r="G22" s="108">
        <v>82</v>
      </c>
      <c r="H22" s="108">
        <v>39</v>
      </c>
      <c r="I22" s="108">
        <v>31</v>
      </c>
      <c r="J22" s="108">
        <v>45</v>
      </c>
      <c r="K22" s="108">
        <v>56</v>
      </c>
      <c r="L22" s="108">
        <v>71</v>
      </c>
      <c r="M22" s="108">
        <v>55</v>
      </c>
      <c r="N22" s="108">
        <v>58</v>
      </c>
      <c r="O22" s="108">
        <v>94</v>
      </c>
      <c r="P22" s="108">
        <v>83</v>
      </c>
      <c r="Q22" s="108">
        <v>79</v>
      </c>
      <c r="R22" s="108">
        <v>81</v>
      </c>
      <c r="S22" s="108">
        <v>73</v>
      </c>
      <c r="T22" s="108">
        <v>59</v>
      </c>
      <c r="U22" s="108">
        <v>53</v>
      </c>
      <c r="V22" s="108">
        <v>106</v>
      </c>
      <c r="W22" s="108">
        <v>97</v>
      </c>
      <c r="X22" s="108">
        <v>67</v>
      </c>
      <c r="Y22" s="108">
        <v>63</v>
      </c>
      <c r="Z22" s="108">
        <v>68</v>
      </c>
      <c r="AA22" s="108">
        <v>93</v>
      </c>
      <c r="AB22" s="108">
        <v>50</v>
      </c>
      <c r="AC22" s="108">
        <v>47</v>
      </c>
      <c r="AD22" s="108">
        <v>65</v>
      </c>
      <c r="AE22" s="108">
        <v>72</v>
      </c>
      <c r="AF22" s="108">
        <v>38</v>
      </c>
      <c r="AG22" s="108">
        <v>49</v>
      </c>
      <c r="AH22" s="108">
        <v>58</v>
      </c>
      <c r="AI22" s="108">
        <v>92</v>
      </c>
      <c r="AJ22" s="108">
        <v>83</v>
      </c>
      <c r="AK22" s="108">
        <v>77</v>
      </c>
      <c r="AL22" s="108">
        <v>77</v>
      </c>
      <c r="AM22" s="108">
        <v>100</v>
      </c>
      <c r="AN22" s="108">
        <v>41</v>
      </c>
      <c r="AO22" s="108">
        <v>53</v>
      </c>
      <c r="AP22" s="108">
        <v>81</v>
      </c>
      <c r="AQ22" s="108">
        <v>66</v>
      </c>
      <c r="AR22" s="108">
        <v>69</v>
      </c>
      <c r="AS22" s="108">
        <v>46</v>
      </c>
      <c r="AT22" s="108">
        <f>SUM(B22:AS22)</f>
        <v>2833</v>
      </c>
      <c r="AU22" s="109">
        <v>6.61</v>
      </c>
    </row>
    <row r="23" spans="1:47" ht="15" customHeight="1">
      <c r="A23" s="101" t="s">
        <v>212</v>
      </c>
      <c r="B23" s="108">
        <v>21</v>
      </c>
      <c r="C23" s="108">
        <v>28</v>
      </c>
      <c r="D23" s="108">
        <v>37</v>
      </c>
      <c r="E23" s="108">
        <v>40</v>
      </c>
      <c r="F23" s="108">
        <v>75</v>
      </c>
      <c r="G23" s="108">
        <v>81</v>
      </c>
      <c r="H23" s="108">
        <v>36</v>
      </c>
      <c r="I23" s="108">
        <v>30</v>
      </c>
      <c r="J23" s="108">
        <v>41</v>
      </c>
      <c r="K23" s="108">
        <v>48</v>
      </c>
      <c r="L23" s="108">
        <v>69</v>
      </c>
      <c r="M23" s="108">
        <v>58</v>
      </c>
      <c r="N23" s="108">
        <v>57</v>
      </c>
      <c r="O23" s="108">
        <v>89</v>
      </c>
      <c r="P23" s="108">
        <v>83</v>
      </c>
      <c r="Q23" s="108">
        <v>76</v>
      </c>
      <c r="R23" s="108">
        <v>83</v>
      </c>
      <c r="S23" s="108">
        <v>67</v>
      </c>
      <c r="T23" s="108">
        <v>58</v>
      </c>
      <c r="U23" s="108">
        <v>52</v>
      </c>
      <c r="V23" s="108">
        <v>100</v>
      </c>
      <c r="W23" s="108">
        <v>90</v>
      </c>
      <c r="X23" s="108">
        <v>65</v>
      </c>
      <c r="Y23" s="108">
        <v>57</v>
      </c>
      <c r="Z23" s="108">
        <v>61</v>
      </c>
      <c r="AA23" s="108">
        <v>86</v>
      </c>
      <c r="AB23" s="108">
        <v>52</v>
      </c>
      <c r="AC23" s="108">
        <v>44</v>
      </c>
      <c r="AD23" s="108">
        <v>63</v>
      </c>
      <c r="AE23" s="108">
        <v>71</v>
      </c>
      <c r="AF23" s="108">
        <v>36</v>
      </c>
      <c r="AG23" s="108">
        <v>46</v>
      </c>
      <c r="AH23" s="108">
        <v>53</v>
      </c>
      <c r="AI23" s="108">
        <v>88</v>
      </c>
      <c r="AJ23" s="108">
        <v>77</v>
      </c>
      <c r="AK23" s="108">
        <v>73</v>
      </c>
      <c r="AL23" s="108">
        <v>74</v>
      </c>
      <c r="AM23" s="108">
        <v>96</v>
      </c>
      <c r="AN23" s="108">
        <v>38</v>
      </c>
      <c r="AO23" s="108">
        <v>51</v>
      </c>
      <c r="AP23" s="108">
        <v>75</v>
      </c>
      <c r="AQ23" s="108">
        <v>64</v>
      </c>
      <c r="AR23" s="108">
        <v>66</v>
      </c>
      <c r="AS23" s="108">
        <v>49</v>
      </c>
      <c r="AT23" s="108">
        <f>SUM(B23:AS23)</f>
        <v>2704</v>
      </c>
      <c r="AU23" s="109">
        <v>6.31</v>
      </c>
    </row>
    <row r="24" spans="1:47" ht="22.5" customHeight="1">
      <c r="A24" s="100" t="s">
        <v>209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1"/>
    </row>
    <row r="25" spans="1:47" ht="15" customHeight="1">
      <c r="A25" s="99" t="s">
        <v>214</v>
      </c>
      <c r="B25" s="108">
        <v>31</v>
      </c>
      <c r="C25" s="108">
        <v>40</v>
      </c>
      <c r="D25" s="108">
        <v>23</v>
      </c>
      <c r="E25" s="108">
        <v>23</v>
      </c>
      <c r="F25" s="108">
        <v>34</v>
      </c>
      <c r="G25" s="108">
        <v>48</v>
      </c>
      <c r="H25" s="108">
        <v>22</v>
      </c>
      <c r="I25" s="108">
        <v>18</v>
      </c>
      <c r="J25" s="108">
        <v>41</v>
      </c>
      <c r="K25" s="108">
        <v>36</v>
      </c>
      <c r="L25" s="108">
        <v>48</v>
      </c>
      <c r="M25" s="108">
        <v>46</v>
      </c>
      <c r="N25" s="108">
        <v>45</v>
      </c>
      <c r="O25" s="108">
        <v>45</v>
      </c>
      <c r="P25" s="108">
        <v>47</v>
      </c>
      <c r="Q25" s="108">
        <v>62</v>
      </c>
      <c r="R25" s="108">
        <v>64</v>
      </c>
      <c r="S25" s="108">
        <v>61</v>
      </c>
      <c r="T25" s="108">
        <v>39</v>
      </c>
      <c r="U25" s="108">
        <v>44</v>
      </c>
      <c r="V25" s="108">
        <v>60</v>
      </c>
      <c r="W25" s="108">
        <v>60</v>
      </c>
      <c r="X25" s="108">
        <v>62</v>
      </c>
      <c r="Y25" s="108">
        <v>53</v>
      </c>
      <c r="Z25" s="108">
        <v>38</v>
      </c>
      <c r="AA25" s="108">
        <v>46</v>
      </c>
      <c r="AB25" s="108">
        <v>24</v>
      </c>
      <c r="AC25" s="108">
        <v>28</v>
      </c>
      <c r="AD25" s="108">
        <v>57</v>
      </c>
      <c r="AE25" s="108">
        <v>38</v>
      </c>
      <c r="AF25" s="108">
        <v>43</v>
      </c>
      <c r="AG25" s="108">
        <v>46</v>
      </c>
      <c r="AH25" s="108">
        <v>48</v>
      </c>
      <c r="AI25" s="108">
        <v>53</v>
      </c>
      <c r="AJ25" s="108">
        <v>52</v>
      </c>
      <c r="AK25" s="108">
        <v>49</v>
      </c>
      <c r="AL25" s="108">
        <v>69</v>
      </c>
      <c r="AM25" s="108">
        <v>39</v>
      </c>
      <c r="AN25" s="108">
        <v>35</v>
      </c>
      <c r="AO25" s="108">
        <v>45</v>
      </c>
      <c r="AP25" s="108">
        <v>65</v>
      </c>
      <c r="AQ25" s="108">
        <v>64</v>
      </c>
      <c r="AR25" s="108">
        <v>54</v>
      </c>
      <c r="AS25" s="108">
        <v>39</v>
      </c>
      <c r="AT25" s="108">
        <f>SUM(B25:AS25)</f>
        <v>1984</v>
      </c>
      <c r="AU25" s="109">
        <v>4.63</v>
      </c>
    </row>
    <row r="26" spans="1:47" ht="15" customHeight="1">
      <c r="A26" s="99" t="s">
        <v>215</v>
      </c>
      <c r="B26" s="108">
        <v>30</v>
      </c>
      <c r="C26" s="108">
        <v>34</v>
      </c>
      <c r="D26" s="108">
        <v>23</v>
      </c>
      <c r="E26" s="108">
        <v>22</v>
      </c>
      <c r="F26" s="108">
        <v>34</v>
      </c>
      <c r="G26" s="108">
        <v>47</v>
      </c>
      <c r="H26" s="108">
        <v>21</v>
      </c>
      <c r="I26" s="108">
        <v>17</v>
      </c>
      <c r="J26" s="108">
        <v>42</v>
      </c>
      <c r="K26" s="108">
        <v>35</v>
      </c>
      <c r="L26" s="108">
        <v>45</v>
      </c>
      <c r="M26" s="108">
        <v>46</v>
      </c>
      <c r="N26" s="108">
        <v>42</v>
      </c>
      <c r="O26" s="108">
        <v>45</v>
      </c>
      <c r="P26" s="108">
        <v>49</v>
      </c>
      <c r="Q26" s="108">
        <v>59</v>
      </c>
      <c r="R26" s="108">
        <v>61</v>
      </c>
      <c r="S26" s="108">
        <v>57</v>
      </c>
      <c r="T26" s="108">
        <v>39</v>
      </c>
      <c r="U26" s="108">
        <v>43</v>
      </c>
      <c r="V26" s="108">
        <v>61</v>
      </c>
      <c r="W26" s="108">
        <v>59</v>
      </c>
      <c r="X26" s="108">
        <v>56</v>
      </c>
      <c r="Y26" s="108">
        <v>51</v>
      </c>
      <c r="Z26" s="108">
        <v>36</v>
      </c>
      <c r="AA26" s="108">
        <v>44</v>
      </c>
      <c r="AB26" s="108">
        <v>24</v>
      </c>
      <c r="AC26" s="108">
        <v>28</v>
      </c>
      <c r="AD26" s="108">
        <v>56</v>
      </c>
      <c r="AE26" s="108">
        <v>38</v>
      </c>
      <c r="AF26" s="108">
        <v>43</v>
      </c>
      <c r="AG26" s="108">
        <v>45</v>
      </c>
      <c r="AH26" s="108">
        <v>48</v>
      </c>
      <c r="AI26" s="108">
        <v>52</v>
      </c>
      <c r="AJ26" s="108">
        <v>51</v>
      </c>
      <c r="AK26" s="108">
        <v>47</v>
      </c>
      <c r="AL26" s="108">
        <v>68</v>
      </c>
      <c r="AM26" s="108">
        <v>35</v>
      </c>
      <c r="AN26" s="108">
        <v>34</v>
      </c>
      <c r="AO26" s="108">
        <v>44</v>
      </c>
      <c r="AP26" s="108">
        <v>63</v>
      </c>
      <c r="AQ26" s="108">
        <v>61</v>
      </c>
      <c r="AR26" s="108">
        <v>47</v>
      </c>
      <c r="AS26" s="108">
        <v>39</v>
      </c>
      <c r="AT26" s="108">
        <f>SUM(B26:AS26)</f>
        <v>1921</v>
      </c>
      <c r="AU26" s="109">
        <v>4.48</v>
      </c>
    </row>
    <row r="27" spans="1:47" ht="15" customHeight="1">
      <c r="A27" s="99" t="s">
        <v>216</v>
      </c>
      <c r="B27" s="108">
        <v>30</v>
      </c>
      <c r="C27" s="108">
        <v>34</v>
      </c>
      <c r="D27" s="108">
        <v>23</v>
      </c>
      <c r="E27" s="108">
        <v>22</v>
      </c>
      <c r="F27" s="108">
        <v>36</v>
      </c>
      <c r="G27" s="108">
        <v>50</v>
      </c>
      <c r="H27" s="108">
        <v>21</v>
      </c>
      <c r="I27" s="108">
        <v>17</v>
      </c>
      <c r="J27" s="108">
        <v>41</v>
      </c>
      <c r="K27" s="108">
        <v>35</v>
      </c>
      <c r="L27" s="108">
        <v>45</v>
      </c>
      <c r="M27" s="108">
        <v>45</v>
      </c>
      <c r="N27" s="108">
        <v>43</v>
      </c>
      <c r="O27" s="108">
        <v>45</v>
      </c>
      <c r="P27" s="108">
        <v>47</v>
      </c>
      <c r="Q27" s="108">
        <v>59</v>
      </c>
      <c r="R27" s="108">
        <v>63</v>
      </c>
      <c r="S27" s="108">
        <v>57</v>
      </c>
      <c r="T27" s="108">
        <v>39</v>
      </c>
      <c r="U27" s="108">
        <v>42</v>
      </c>
      <c r="V27" s="108">
        <v>60</v>
      </c>
      <c r="W27" s="108">
        <v>57</v>
      </c>
      <c r="X27" s="108">
        <v>56</v>
      </c>
      <c r="Y27" s="108">
        <v>53</v>
      </c>
      <c r="Z27" s="108">
        <v>36</v>
      </c>
      <c r="AA27" s="108">
        <v>45</v>
      </c>
      <c r="AB27" s="108">
        <v>24</v>
      </c>
      <c r="AC27" s="108">
        <v>28</v>
      </c>
      <c r="AD27" s="108">
        <v>58</v>
      </c>
      <c r="AE27" s="108">
        <v>37</v>
      </c>
      <c r="AF27" s="108">
        <v>43</v>
      </c>
      <c r="AG27" s="108">
        <v>44</v>
      </c>
      <c r="AH27" s="108">
        <v>46</v>
      </c>
      <c r="AI27" s="108">
        <v>50</v>
      </c>
      <c r="AJ27" s="108">
        <v>51</v>
      </c>
      <c r="AK27" s="108">
        <v>47</v>
      </c>
      <c r="AL27" s="108">
        <v>55</v>
      </c>
      <c r="AM27" s="108">
        <v>34</v>
      </c>
      <c r="AN27" s="108">
        <v>34</v>
      </c>
      <c r="AO27" s="108">
        <v>45</v>
      </c>
      <c r="AP27" s="108">
        <v>61</v>
      </c>
      <c r="AQ27" s="108">
        <v>63</v>
      </c>
      <c r="AR27" s="108">
        <v>46</v>
      </c>
      <c r="AS27" s="108">
        <v>39</v>
      </c>
      <c r="AT27" s="108">
        <f>SUM(B27:AS27)</f>
        <v>1906</v>
      </c>
      <c r="AU27" s="109">
        <v>4.15</v>
      </c>
    </row>
    <row r="28" spans="1:47" ht="15" customHeight="1">
      <c r="A28" s="100" t="s">
        <v>213</v>
      </c>
      <c r="B28" s="110"/>
      <c r="C28" s="110"/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0"/>
      <c r="U28" s="110"/>
      <c r="V28" s="110"/>
      <c r="W28" s="110"/>
      <c r="X28" s="110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110"/>
      <c r="AK28" s="110"/>
      <c r="AL28" s="110"/>
      <c r="AM28" s="110"/>
      <c r="AN28" s="110"/>
      <c r="AO28" s="110"/>
      <c r="AP28" s="110"/>
      <c r="AQ28" s="110"/>
      <c r="AR28" s="110"/>
      <c r="AS28" s="110"/>
      <c r="AT28" s="110"/>
      <c r="AU28" s="111"/>
    </row>
    <row r="29" spans="1:47" ht="15" customHeight="1">
      <c r="A29" s="101" t="s">
        <v>218</v>
      </c>
      <c r="B29" s="108">
        <v>70</v>
      </c>
      <c r="C29" s="108">
        <v>73</v>
      </c>
      <c r="D29" s="108">
        <v>76</v>
      </c>
      <c r="E29" s="108">
        <v>53</v>
      </c>
      <c r="F29" s="108">
        <v>59</v>
      </c>
      <c r="G29" s="108">
        <v>54</v>
      </c>
      <c r="H29" s="108">
        <v>52</v>
      </c>
      <c r="I29" s="108">
        <v>47</v>
      </c>
      <c r="J29" s="108">
        <v>42</v>
      </c>
      <c r="K29" s="108">
        <v>80</v>
      </c>
      <c r="L29" s="108">
        <v>43</v>
      </c>
      <c r="M29" s="108">
        <v>45</v>
      </c>
      <c r="N29" s="108">
        <v>45</v>
      </c>
      <c r="O29" s="108">
        <v>49</v>
      </c>
      <c r="P29" s="108">
        <v>50</v>
      </c>
      <c r="Q29" s="108">
        <v>46</v>
      </c>
      <c r="R29" s="108">
        <v>41</v>
      </c>
      <c r="S29" s="108">
        <v>51</v>
      </c>
      <c r="T29" s="108">
        <v>69</v>
      </c>
      <c r="U29" s="108">
        <v>64</v>
      </c>
      <c r="V29" s="108">
        <v>47</v>
      </c>
      <c r="W29" s="108">
        <v>72</v>
      </c>
      <c r="X29" s="108">
        <v>51</v>
      </c>
      <c r="Y29" s="108">
        <v>68</v>
      </c>
      <c r="Z29" s="108">
        <v>50</v>
      </c>
      <c r="AA29" s="108">
        <v>54</v>
      </c>
      <c r="AB29" s="108">
        <v>62</v>
      </c>
      <c r="AC29" s="108">
        <v>48</v>
      </c>
      <c r="AD29" s="108">
        <v>106</v>
      </c>
      <c r="AE29" s="108">
        <v>96</v>
      </c>
      <c r="AF29" s="108">
        <v>28</v>
      </c>
      <c r="AG29" s="108">
        <v>35</v>
      </c>
      <c r="AH29" s="108">
        <v>30</v>
      </c>
      <c r="AI29" s="108">
        <v>24</v>
      </c>
      <c r="AJ29" s="108">
        <v>42</v>
      </c>
      <c r="AK29" s="108">
        <v>57</v>
      </c>
      <c r="AL29" s="108">
        <v>54</v>
      </c>
      <c r="AM29" s="108">
        <v>60</v>
      </c>
      <c r="AN29" s="108">
        <v>45</v>
      </c>
      <c r="AO29" s="108">
        <v>40</v>
      </c>
      <c r="AP29" s="108">
        <v>41</v>
      </c>
      <c r="AQ29" s="108">
        <v>41</v>
      </c>
      <c r="AR29" s="108">
        <v>10</v>
      </c>
      <c r="AS29" s="108">
        <v>15</v>
      </c>
      <c r="AT29" s="108">
        <f>SUM(B29:AS29)</f>
        <v>2285</v>
      </c>
      <c r="AU29" s="109">
        <v>5.33</v>
      </c>
    </row>
    <row r="30" spans="1:47" ht="15" customHeight="1">
      <c r="A30" s="101" t="s">
        <v>219</v>
      </c>
      <c r="B30" s="108">
        <v>60</v>
      </c>
      <c r="C30" s="108">
        <v>62</v>
      </c>
      <c r="D30" s="108">
        <v>59</v>
      </c>
      <c r="E30" s="108">
        <v>43</v>
      </c>
      <c r="F30" s="108">
        <v>55</v>
      </c>
      <c r="G30" s="108">
        <v>43</v>
      </c>
      <c r="H30" s="108">
        <v>49</v>
      </c>
      <c r="I30" s="108">
        <v>43</v>
      </c>
      <c r="J30" s="108">
        <v>37</v>
      </c>
      <c r="K30" s="108">
        <v>72</v>
      </c>
      <c r="L30" s="108">
        <v>39</v>
      </c>
      <c r="M30" s="108">
        <v>39</v>
      </c>
      <c r="N30" s="108">
        <v>41</v>
      </c>
      <c r="O30" s="108">
        <v>47</v>
      </c>
      <c r="P30" s="108">
        <v>41</v>
      </c>
      <c r="Q30" s="108">
        <v>41</v>
      </c>
      <c r="R30" s="108">
        <v>36</v>
      </c>
      <c r="S30" s="108">
        <v>46</v>
      </c>
      <c r="T30" s="108">
        <v>60</v>
      </c>
      <c r="U30" s="108">
        <v>56</v>
      </c>
      <c r="V30" s="108">
        <v>34</v>
      </c>
      <c r="W30" s="108">
        <v>59</v>
      </c>
      <c r="X30" s="108">
        <v>38</v>
      </c>
      <c r="Y30" s="108">
        <v>51</v>
      </c>
      <c r="Z30" s="108">
        <v>42</v>
      </c>
      <c r="AA30" s="108">
        <v>41</v>
      </c>
      <c r="AB30" s="108">
        <v>43</v>
      </c>
      <c r="AC30" s="108">
        <v>46</v>
      </c>
      <c r="AD30" s="108">
        <v>89</v>
      </c>
      <c r="AE30" s="108">
        <v>83</v>
      </c>
      <c r="AF30" s="108">
        <v>21</v>
      </c>
      <c r="AG30" s="108">
        <v>25</v>
      </c>
      <c r="AH30" s="108">
        <v>25</v>
      </c>
      <c r="AI30" s="108">
        <v>20</v>
      </c>
      <c r="AJ30" s="108">
        <v>31</v>
      </c>
      <c r="AK30" s="108">
        <v>45</v>
      </c>
      <c r="AL30" s="108">
        <v>47</v>
      </c>
      <c r="AM30" s="108">
        <v>51</v>
      </c>
      <c r="AN30" s="108">
        <v>40</v>
      </c>
      <c r="AO30" s="108">
        <v>35</v>
      </c>
      <c r="AP30" s="108">
        <v>29</v>
      </c>
      <c r="AQ30" s="108">
        <v>32</v>
      </c>
      <c r="AR30" s="108">
        <v>9</v>
      </c>
      <c r="AS30" s="108">
        <v>14</v>
      </c>
      <c r="AT30" s="108">
        <f>SUM(B30:AS30)</f>
        <v>1919</v>
      </c>
      <c r="AU30" s="109">
        <v>4.48</v>
      </c>
    </row>
    <row r="31" spans="1:47" ht="15" customHeight="1">
      <c r="A31" s="101" t="s">
        <v>220</v>
      </c>
      <c r="B31" s="108">
        <v>59</v>
      </c>
      <c r="C31" s="108">
        <v>61</v>
      </c>
      <c r="D31" s="108">
        <v>60</v>
      </c>
      <c r="E31" s="108">
        <v>39</v>
      </c>
      <c r="F31" s="108">
        <v>52</v>
      </c>
      <c r="G31" s="108">
        <v>40</v>
      </c>
      <c r="H31" s="108">
        <v>46</v>
      </c>
      <c r="I31" s="108">
        <v>41</v>
      </c>
      <c r="J31" s="108">
        <v>37</v>
      </c>
      <c r="K31" s="108">
        <v>68</v>
      </c>
      <c r="L31" s="108">
        <v>37</v>
      </c>
      <c r="M31" s="108">
        <v>37</v>
      </c>
      <c r="N31" s="108">
        <v>40</v>
      </c>
      <c r="O31" s="108">
        <v>44</v>
      </c>
      <c r="P31" s="108">
        <v>39</v>
      </c>
      <c r="Q31" s="108">
        <v>44</v>
      </c>
      <c r="R31" s="108">
        <v>37</v>
      </c>
      <c r="S31" s="108">
        <v>44</v>
      </c>
      <c r="T31" s="108">
        <v>60</v>
      </c>
      <c r="U31" s="108">
        <v>59</v>
      </c>
      <c r="V31" s="108">
        <v>34</v>
      </c>
      <c r="W31" s="108">
        <v>63</v>
      </c>
      <c r="X31" s="108">
        <v>36</v>
      </c>
      <c r="Y31" s="108">
        <v>47</v>
      </c>
      <c r="Z31" s="108">
        <v>40</v>
      </c>
      <c r="AA31" s="108">
        <v>41</v>
      </c>
      <c r="AB31" s="108">
        <v>41</v>
      </c>
      <c r="AC31" s="108">
        <v>46</v>
      </c>
      <c r="AD31" s="108">
        <v>80</v>
      </c>
      <c r="AE31" s="108">
        <v>80</v>
      </c>
      <c r="AF31" s="108">
        <v>20</v>
      </c>
      <c r="AG31" s="108">
        <v>20</v>
      </c>
      <c r="AH31" s="108">
        <v>25</v>
      </c>
      <c r="AI31" s="108">
        <v>19</v>
      </c>
      <c r="AJ31" s="108">
        <v>30</v>
      </c>
      <c r="AK31" s="108">
        <v>45</v>
      </c>
      <c r="AL31" s="108">
        <v>46</v>
      </c>
      <c r="AM31" s="108">
        <v>50</v>
      </c>
      <c r="AN31" s="108">
        <v>38</v>
      </c>
      <c r="AO31" s="108">
        <v>34</v>
      </c>
      <c r="AP31" s="108">
        <v>28</v>
      </c>
      <c r="AQ31" s="108">
        <v>31</v>
      </c>
      <c r="AR31" s="108">
        <v>8</v>
      </c>
      <c r="AS31" s="108">
        <v>11</v>
      </c>
      <c r="AT31" s="108">
        <f>SUM(B31:AS31)</f>
        <v>1857</v>
      </c>
      <c r="AU31" s="109">
        <v>4.33</v>
      </c>
    </row>
    <row r="32" spans="1:47" ht="32.25" customHeight="1">
      <c r="A32" s="100" t="s">
        <v>217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1"/>
    </row>
    <row r="33" spans="1:47" ht="15" customHeight="1">
      <c r="A33" s="101" t="s">
        <v>222</v>
      </c>
      <c r="B33" s="108">
        <v>0</v>
      </c>
      <c r="C33" s="108">
        <v>1</v>
      </c>
      <c r="D33" s="108">
        <v>0</v>
      </c>
      <c r="E33" s="108">
        <v>3</v>
      </c>
      <c r="F33" s="108">
        <v>2</v>
      </c>
      <c r="G33" s="108">
        <v>2</v>
      </c>
      <c r="H33" s="108">
        <v>4</v>
      </c>
      <c r="I33" s="108">
        <v>3</v>
      </c>
      <c r="J33" s="108">
        <v>1</v>
      </c>
      <c r="K33" s="108">
        <v>1</v>
      </c>
      <c r="L33" s="108">
        <v>2</v>
      </c>
      <c r="M33" s="108">
        <v>0</v>
      </c>
      <c r="N33" s="108">
        <v>3</v>
      </c>
      <c r="O33" s="108">
        <v>4</v>
      </c>
      <c r="P33" s="108">
        <v>7</v>
      </c>
      <c r="Q33" s="108">
        <v>1</v>
      </c>
      <c r="R33" s="108">
        <v>0</v>
      </c>
      <c r="S33" s="108">
        <v>0</v>
      </c>
      <c r="T33" s="108">
        <v>1</v>
      </c>
      <c r="U33" s="108">
        <v>4</v>
      </c>
      <c r="V33" s="108">
        <v>3</v>
      </c>
      <c r="W33" s="108">
        <v>1</v>
      </c>
      <c r="X33" s="108">
        <v>1</v>
      </c>
      <c r="Y33" s="108">
        <v>4</v>
      </c>
      <c r="Z33" s="108">
        <v>1</v>
      </c>
      <c r="AA33" s="108">
        <v>1</v>
      </c>
      <c r="AB33" s="108">
        <v>2</v>
      </c>
      <c r="AC33" s="108">
        <v>0</v>
      </c>
      <c r="AD33" s="108">
        <v>2</v>
      </c>
      <c r="AE33" s="108">
        <v>2</v>
      </c>
      <c r="AF33" s="108">
        <v>6</v>
      </c>
      <c r="AG33" s="108">
        <v>1</v>
      </c>
      <c r="AH33" s="108">
        <v>0</v>
      </c>
      <c r="AI33" s="108">
        <v>1</v>
      </c>
      <c r="AJ33" s="108">
        <v>3</v>
      </c>
      <c r="AK33" s="108">
        <v>4</v>
      </c>
      <c r="AL33" s="108">
        <v>3</v>
      </c>
      <c r="AM33" s="108">
        <v>0</v>
      </c>
      <c r="AN33" s="108">
        <v>1</v>
      </c>
      <c r="AO33" s="108">
        <v>1</v>
      </c>
      <c r="AP33" s="108">
        <v>3</v>
      </c>
      <c r="AQ33" s="108">
        <v>1</v>
      </c>
      <c r="AR33" s="108">
        <v>1</v>
      </c>
      <c r="AS33" s="108">
        <v>2</v>
      </c>
      <c r="AT33" s="108">
        <f>SUM(B33:AS33)</f>
        <v>83</v>
      </c>
      <c r="AU33" s="109">
        <v>0.19</v>
      </c>
    </row>
    <row r="34" spans="1:47" ht="15" customHeight="1">
      <c r="A34" s="101" t="s">
        <v>223</v>
      </c>
      <c r="B34" s="108">
        <v>0</v>
      </c>
      <c r="C34" s="108">
        <v>1</v>
      </c>
      <c r="D34" s="108">
        <v>0</v>
      </c>
      <c r="E34" s="108">
        <v>3</v>
      </c>
      <c r="F34" s="108">
        <v>2</v>
      </c>
      <c r="G34" s="108">
        <v>2</v>
      </c>
      <c r="H34" s="108">
        <v>4</v>
      </c>
      <c r="I34" s="108">
        <v>3</v>
      </c>
      <c r="J34" s="108">
        <v>1</v>
      </c>
      <c r="K34" s="108">
        <v>0</v>
      </c>
      <c r="L34" s="108">
        <v>1</v>
      </c>
      <c r="M34" s="108">
        <v>0</v>
      </c>
      <c r="N34" s="108">
        <v>2</v>
      </c>
      <c r="O34" s="108">
        <v>5</v>
      </c>
      <c r="P34" s="108">
        <v>7</v>
      </c>
      <c r="Q34" s="108">
        <v>1</v>
      </c>
      <c r="R34" s="108">
        <v>0</v>
      </c>
      <c r="S34" s="108">
        <v>0</v>
      </c>
      <c r="T34" s="108">
        <v>1</v>
      </c>
      <c r="U34" s="108">
        <v>2</v>
      </c>
      <c r="V34" s="108">
        <v>1</v>
      </c>
      <c r="W34" s="108">
        <v>0</v>
      </c>
      <c r="X34" s="108">
        <v>0</v>
      </c>
      <c r="Y34" s="108">
        <v>1</v>
      </c>
      <c r="Z34" s="108">
        <v>1</v>
      </c>
      <c r="AA34" s="108">
        <v>1</v>
      </c>
      <c r="AB34" s="108">
        <v>2</v>
      </c>
      <c r="AC34" s="108">
        <v>0</v>
      </c>
      <c r="AD34" s="108">
        <v>1</v>
      </c>
      <c r="AE34" s="108">
        <v>2</v>
      </c>
      <c r="AF34" s="108">
        <v>6</v>
      </c>
      <c r="AG34" s="108">
        <v>1</v>
      </c>
      <c r="AH34" s="108">
        <v>0</v>
      </c>
      <c r="AI34" s="108">
        <v>1</v>
      </c>
      <c r="AJ34" s="108">
        <v>2</v>
      </c>
      <c r="AK34" s="108">
        <v>3</v>
      </c>
      <c r="AL34" s="108">
        <v>2</v>
      </c>
      <c r="AM34" s="108">
        <v>0</v>
      </c>
      <c r="AN34" s="108">
        <v>1</v>
      </c>
      <c r="AO34" s="108">
        <v>1</v>
      </c>
      <c r="AP34" s="108">
        <v>2</v>
      </c>
      <c r="AQ34" s="108">
        <v>1</v>
      </c>
      <c r="AR34" s="108">
        <v>1</v>
      </c>
      <c r="AS34" s="108">
        <v>1</v>
      </c>
      <c r="AT34" s="108">
        <f>SUM(B34:AS34)</f>
        <v>66</v>
      </c>
      <c r="AU34" s="109">
        <v>0.15</v>
      </c>
    </row>
    <row r="35" spans="1:47" ht="15" customHeight="1">
      <c r="A35" s="101" t="s">
        <v>224</v>
      </c>
      <c r="B35" s="108">
        <v>0</v>
      </c>
      <c r="C35" s="108">
        <v>1</v>
      </c>
      <c r="D35" s="108">
        <v>1</v>
      </c>
      <c r="E35" s="108">
        <v>3</v>
      </c>
      <c r="F35" s="108">
        <v>1</v>
      </c>
      <c r="G35" s="108">
        <v>2</v>
      </c>
      <c r="H35" s="108">
        <v>4</v>
      </c>
      <c r="I35" s="108">
        <v>3</v>
      </c>
      <c r="J35" s="108">
        <v>1</v>
      </c>
      <c r="K35" s="108">
        <v>0</v>
      </c>
      <c r="L35" s="108">
        <v>1</v>
      </c>
      <c r="M35" s="108">
        <v>0</v>
      </c>
      <c r="N35" s="108">
        <v>1</v>
      </c>
      <c r="O35" s="108">
        <v>4</v>
      </c>
      <c r="P35" s="108">
        <v>7</v>
      </c>
      <c r="Q35" s="108">
        <v>1</v>
      </c>
      <c r="R35" s="108">
        <v>0</v>
      </c>
      <c r="S35" s="108">
        <v>0</v>
      </c>
      <c r="T35" s="108">
        <v>0</v>
      </c>
      <c r="U35" s="108">
        <v>1</v>
      </c>
      <c r="V35" s="108">
        <v>1</v>
      </c>
      <c r="W35" s="108">
        <v>0</v>
      </c>
      <c r="X35" s="108">
        <v>0</v>
      </c>
      <c r="Y35" s="108">
        <v>0</v>
      </c>
      <c r="Z35" s="108">
        <v>1</v>
      </c>
      <c r="AA35" s="108">
        <v>1</v>
      </c>
      <c r="AB35" s="108">
        <v>1</v>
      </c>
      <c r="AC35" s="108">
        <v>0</v>
      </c>
      <c r="AD35" s="108">
        <v>1</v>
      </c>
      <c r="AE35" s="108">
        <v>2</v>
      </c>
      <c r="AF35" s="108">
        <v>5</v>
      </c>
      <c r="AG35" s="108">
        <v>0</v>
      </c>
      <c r="AH35" s="108">
        <v>0</v>
      </c>
      <c r="AI35" s="108">
        <v>1</v>
      </c>
      <c r="AJ35" s="108">
        <v>2</v>
      </c>
      <c r="AK35" s="108">
        <v>2</v>
      </c>
      <c r="AL35" s="108">
        <v>2</v>
      </c>
      <c r="AM35" s="108">
        <v>0</v>
      </c>
      <c r="AN35" s="108">
        <v>0</v>
      </c>
      <c r="AO35" s="108">
        <v>1</v>
      </c>
      <c r="AP35" s="108">
        <v>1</v>
      </c>
      <c r="AQ35" s="108">
        <v>1</v>
      </c>
      <c r="AR35" s="108">
        <v>1</v>
      </c>
      <c r="AS35" s="108">
        <v>1</v>
      </c>
      <c r="AT35" s="108">
        <f>SUM(B35:AS35)</f>
        <v>55</v>
      </c>
      <c r="AU35" s="109">
        <v>0.13</v>
      </c>
    </row>
    <row r="36" spans="1:47" ht="22.5" customHeight="1">
      <c r="A36" s="100" t="s">
        <v>221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  <c r="N36" s="110"/>
      <c r="O36" s="110"/>
      <c r="P36" s="110"/>
      <c r="Q36" s="110"/>
      <c r="R36" s="110"/>
      <c r="S36" s="110"/>
      <c r="T36" s="110"/>
      <c r="U36" s="110"/>
      <c r="V36" s="110"/>
      <c r="W36" s="110"/>
      <c r="X36" s="110"/>
      <c r="Y36" s="110"/>
      <c r="Z36" s="110"/>
      <c r="AA36" s="110"/>
      <c r="AB36" s="110"/>
      <c r="AC36" s="110"/>
      <c r="AD36" s="110"/>
      <c r="AE36" s="110"/>
      <c r="AF36" s="110"/>
      <c r="AG36" s="110"/>
      <c r="AH36" s="110"/>
      <c r="AI36" s="110"/>
      <c r="AJ36" s="110"/>
      <c r="AK36" s="110"/>
      <c r="AL36" s="110"/>
      <c r="AM36" s="110"/>
      <c r="AN36" s="110"/>
      <c r="AO36" s="110"/>
      <c r="AP36" s="110"/>
      <c r="AQ36" s="110"/>
      <c r="AR36" s="110"/>
      <c r="AS36" s="110"/>
      <c r="AT36" s="110"/>
      <c r="AU36" s="111"/>
    </row>
    <row r="37" spans="1:47" ht="15" customHeight="1">
      <c r="A37" s="101" t="s">
        <v>226</v>
      </c>
      <c r="B37" s="108">
        <v>5</v>
      </c>
      <c r="C37" s="108">
        <v>10</v>
      </c>
      <c r="D37" s="108">
        <v>13</v>
      </c>
      <c r="E37" s="108">
        <v>4</v>
      </c>
      <c r="F37" s="108">
        <v>16</v>
      </c>
      <c r="G37" s="108">
        <v>18</v>
      </c>
      <c r="H37" s="108">
        <v>4</v>
      </c>
      <c r="I37" s="108">
        <v>5</v>
      </c>
      <c r="J37" s="108">
        <v>10</v>
      </c>
      <c r="K37" s="108">
        <v>12</v>
      </c>
      <c r="L37" s="108">
        <v>11</v>
      </c>
      <c r="M37" s="108">
        <v>14</v>
      </c>
      <c r="N37" s="108">
        <v>14</v>
      </c>
      <c r="O37" s="108">
        <v>16</v>
      </c>
      <c r="P37" s="108">
        <v>15</v>
      </c>
      <c r="Q37" s="108">
        <v>13</v>
      </c>
      <c r="R37" s="108">
        <v>10</v>
      </c>
      <c r="S37" s="108">
        <v>12</v>
      </c>
      <c r="T37" s="108">
        <v>5</v>
      </c>
      <c r="U37" s="108">
        <v>7</v>
      </c>
      <c r="V37" s="108">
        <v>16</v>
      </c>
      <c r="W37" s="108">
        <v>18</v>
      </c>
      <c r="X37" s="108">
        <v>13</v>
      </c>
      <c r="Y37" s="108">
        <v>10</v>
      </c>
      <c r="Z37" s="108">
        <v>7</v>
      </c>
      <c r="AA37" s="108">
        <v>17</v>
      </c>
      <c r="AB37" s="108">
        <v>26</v>
      </c>
      <c r="AC37" s="108">
        <v>2</v>
      </c>
      <c r="AD37" s="108">
        <v>16</v>
      </c>
      <c r="AE37" s="108">
        <v>13</v>
      </c>
      <c r="AF37" s="108">
        <v>13</v>
      </c>
      <c r="AG37" s="108">
        <v>13</v>
      </c>
      <c r="AH37" s="108">
        <v>5</v>
      </c>
      <c r="AI37" s="108">
        <v>11</v>
      </c>
      <c r="AJ37" s="108">
        <v>11</v>
      </c>
      <c r="AK37" s="108">
        <v>11</v>
      </c>
      <c r="AL37" s="108">
        <v>13</v>
      </c>
      <c r="AM37" s="108">
        <v>20</v>
      </c>
      <c r="AN37" s="108">
        <v>7</v>
      </c>
      <c r="AO37" s="108">
        <v>9</v>
      </c>
      <c r="AP37" s="108">
        <v>11</v>
      </c>
      <c r="AQ37" s="108">
        <v>13</v>
      </c>
      <c r="AR37" s="108">
        <v>6</v>
      </c>
      <c r="AS37" s="108">
        <v>8</v>
      </c>
      <c r="AT37" s="108">
        <f>SUM(B37:AS37)</f>
        <v>503</v>
      </c>
      <c r="AU37" s="109">
        <v>1.17</v>
      </c>
    </row>
    <row r="38" spans="1:47" ht="15" customHeight="1">
      <c r="A38" s="101" t="s">
        <v>227</v>
      </c>
      <c r="B38" s="108">
        <v>4</v>
      </c>
      <c r="C38" s="108">
        <v>7</v>
      </c>
      <c r="D38" s="108">
        <v>9</v>
      </c>
      <c r="E38" s="108">
        <v>1</v>
      </c>
      <c r="F38" s="108">
        <v>9</v>
      </c>
      <c r="G38" s="108">
        <v>8</v>
      </c>
      <c r="H38" s="108">
        <v>2</v>
      </c>
      <c r="I38" s="108">
        <v>5</v>
      </c>
      <c r="J38" s="108">
        <v>6</v>
      </c>
      <c r="K38" s="108">
        <v>5</v>
      </c>
      <c r="L38" s="108">
        <v>7</v>
      </c>
      <c r="M38" s="108">
        <v>7</v>
      </c>
      <c r="N38" s="108">
        <v>10</v>
      </c>
      <c r="O38" s="108">
        <v>9</v>
      </c>
      <c r="P38" s="108">
        <v>9</v>
      </c>
      <c r="Q38" s="108">
        <v>11</v>
      </c>
      <c r="R38" s="108">
        <v>6</v>
      </c>
      <c r="S38" s="108">
        <v>9</v>
      </c>
      <c r="T38" s="108">
        <v>6</v>
      </c>
      <c r="U38" s="108">
        <v>6</v>
      </c>
      <c r="V38" s="108">
        <v>11</v>
      </c>
      <c r="W38" s="108">
        <v>9</v>
      </c>
      <c r="X38" s="108">
        <v>7</v>
      </c>
      <c r="Y38" s="108">
        <v>5</v>
      </c>
      <c r="Z38" s="108">
        <v>5</v>
      </c>
      <c r="AA38" s="108">
        <v>9</v>
      </c>
      <c r="AB38" s="108">
        <v>5</v>
      </c>
      <c r="AC38" s="108">
        <v>0</v>
      </c>
      <c r="AD38" s="108">
        <v>11</v>
      </c>
      <c r="AE38" s="108">
        <v>8</v>
      </c>
      <c r="AF38" s="108">
        <v>8</v>
      </c>
      <c r="AG38" s="108">
        <v>10</v>
      </c>
      <c r="AH38" s="108">
        <v>5</v>
      </c>
      <c r="AI38" s="108">
        <v>6</v>
      </c>
      <c r="AJ38" s="108">
        <v>6</v>
      </c>
      <c r="AK38" s="108">
        <v>4</v>
      </c>
      <c r="AL38" s="108">
        <v>10</v>
      </c>
      <c r="AM38" s="108">
        <v>8</v>
      </c>
      <c r="AN38" s="108">
        <v>5</v>
      </c>
      <c r="AO38" s="108">
        <v>9</v>
      </c>
      <c r="AP38" s="108">
        <v>6</v>
      </c>
      <c r="AQ38" s="108">
        <v>11</v>
      </c>
      <c r="AR38" s="108">
        <v>2</v>
      </c>
      <c r="AS38" s="108">
        <v>5</v>
      </c>
      <c r="AT38" s="108">
        <f>SUM(B38:AS38)</f>
        <v>301</v>
      </c>
      <c r="AU38" s="109">
        <v>0.7</v>
      </c>
    </row>
    <row r="39" spans="1:47" ht="15" customHeight="1">
      <c r="A39" s="101" t="s">
        <v>228</v>
      </c>
      <c r="B39" s="108">
        <v>3</v>
      </c>
      <c r="C39" s="108">
        <v>7</v>
      </c>
      <c r="D39" s="108">
        <v>9</v>
      </c>
      <c r="E39" s="108">
        <v>3</v>
      </c>
      <c r="F39" s="108">
        <v>10</v>
      </c>
      <c r="G39" s="108">
        <v>10</v>
      </c>
      <c r="H39" s="108">
        <v>3</v>
      </c>
      <c r="I39" s="108">
        <v>3</v>
      </c>
      <c r="J39" s="108">
        <v>6</v>
      </c>
      <c r="K39" s="108">
        <v>6</v>
      </c>
      <c r="L39" s="108">
        <v>5</v>
      </c>
      <c r="M39" s="108">
        <v>8</v>
      </c>
      <c r="N39" s="108">
        <v>7</v>
      </c>
      <c r="O39" s="108">
        <v>8</v>
      </c>
      <c r="P39" s="108">
        <v>7</v>
      </c>
      <c r="Q39" s="108">
        <v>10</v>
      </c>
      <c r="R39" s="108">
        <v>6</v>
      </c>
      <c r="S39" s="108">
        <v>6</v>
      </c>
      <c r="T39" s="108">
        <v>6</v>
      </c>
      <c r="U39" s="108">
        <v>6</v>
      </c>
      <c r="V39" s="108">
        <v>9</v>
      </c>
      <c r="W39" s="108">
        <v>7</v>
      </c>
      <c r="X39" s="108">
        <v>6</v>
      </c>
      <c r="Y39" s="108">
        <v>4</v>
      </c>
      <c r="Z39" s="108">
        <v>5</v>
      </c>
      <c r="AA39" s="108">
        <v>6</v>
      </c>
      <c r="AB39" s="108">
        <v>5</v>
      </c>
      <c r="AC39" s="108">
        <v>1</v>
      </c>
      <c r="AD39" s="108">
        <v>9</v>
      </c>
      <c r="AE39" s="108">
        <v>8</v>
      </c>
      <c r="AF39" s="108">
        <v>6</v>
      </c>
      <c r="AG39" s="108">
        <v>10</v>
      </c>
      <c r="AH39" s="108">
        <v>4</v>
      </c>
      <c r="AI39" s="108">
        <v>6</v>
      </c>
      <c r="AJ39" s="108">
        <v>6</v>
      </c>
      <c r="AK39" s="108">
        <v>3</v>
      </c>
      <c r="AL39" s="108">
        <v>9</v>
      </c>
      <c r="AM39" s="108">
        <v>8</v>
      </c>
      <c r="AN39" s="108">
        <v>4</v>
      </c>
      <c r="AO39" s="108">
        <v>6</v>
      </c>
      <c r="AP39" s="108">
        <v>5</v>
      </c>
      <c r="AQ39" s="108">
        <v>11</v>
      </c>
      <c r="AR39" s="108">
        <v>4</v>
      </c>
      <c r="AS39" s="108">
        <v>3</v>
      </c>
      <c r="AT39" s="108">
        <f>SUM(B39:AS39)</f>
        <v>274</v>
      </c>
      <c r="AU39" s="109">
        <v>0.64</v>
      </c>
    </row>
    <row r="40" spans="1:47" ht="23.25" customHeight="1">
      <c r="A40" s="100" t="s">
        <v>225</v>
      </c>
      <c r="B40" s="110"/>
      <c r="C40" s="110"/>
      <c r="D40" s="110"/>
      <c r="E40" s="110"/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1"/>
    </row>
    <row r="41" spans="1:47" ht="15" customHeight="1">
      <c r="A41" s="101" t="s">
        <v>230</v>
      </c>
      <c r="B41" s="108">
        <v>1</v>
      </c>
      <c r="C41" s="108">
        <v>2</v>
      </c>
      <c r="D41" s="108">
        <v>0</v>
      </c>
      <c r="E41" s="108">
        <v>2</v>
      </c>
      <c r="F41" s="108">
        <v>0</v>
      </c>
      <c r="G41" s="108">
        <v>0</v>
      </c>
      <c r="H41" s="108">
        <v>0</v>
      </c>
      <c r="I41" s="108">
        <v>1</v>
      </c>
      <c r="J41" s="108">
        <v>0</v>
      </c>
      <c r="K41" s="108">
        <v>1</v>
      </c>
      <c r="L41" s="108">
        <v>1</v>
      </c>
      <c r="M41" s="108">
        <v>1</v>
      </c>
      <c r="N41" s="108">
        <v>2</v>
      </c>
      <c r="O41" s="108">
        <v>3</v>
      </c>
      <c r="P41" s="108">
        <v>1</v>
      </c>
      <c r="Q41" s="108">
        <v>2</v>
      </c>
      <c r="R41" s="108">
        <v>1</v>
      </c>
      <c r="S41" s="108">
        <v>2</v>
      </c>
      <c r="T41" s="108">
        <v>1</v>
      </c>
      <c r="U41" s="108">
        <v>2</v>
      </c>
      <c r="V41" s="108">
        <v>4</v>
      </c>
      <c r="W41" s="108">
        <v>0</v>
      </c>
      <c r="X41" s="108">
        <v>0</v>
      </c>
      <c r="Y41" s="108">
        <v>1</v>
      </c>
      <c r="Z41" s="108">
        <v>2</v>
      </c>
      <c r="AA41" s="108">
        <v>1</v>
      </c>
      <c r="AB41" s="108">
        <v>0</v>
      </c>
      <c r="AC41" s="108">
        <v>0</v>
      </c>
      <c r="AD41" s="108">
        <v>1</v>
      </c>
      <c r="AE41" s="108">
        <v>4</v>
      </c>
      <c r="AF41" s="108">
        <v>2</v>
      </c>
      <c r="AG41" s="108">
        <v>1</v>
      </c>
      <c r="AH41" s="108">
        <v>1</v>
      </c>
      <c r="AI41" s="108">
        <v>2</v>
      </c>
      <c r="AJ41" s="108">
        <v>0</v>
      </c>
      <c r="AK41" s="108">
        <v>2</v>
      </c>
      <c r="AL41" s="108">
        <v>0</v>
      </c>
      <c r="AM41" s="108">
        <v>4</v>
      </c>
      <c r="AN41" s="108">
        <v>0</v>
      </c>
      <c r="AO41" s="108">
        <v>0</v>
      </c>
      <c r="AP41" s="108">
        <v>2</v>
      </c>
      <c r="AQ41" s="108">
        <v>3</v>
      </c>
      <c r="AR41" s="108">
        <v>1</v>
      </c>
      <c r="AS41" s="108">
        <v>0</v>
      </c>
      <c r="AT41" s="108">
        <f>SUM(B41:AS41)</f>
        <v>54</v>
      </c>
      <c r="AU41" s="109">
        <v>0.13</v>
      </c>
    </row>
    <row r="42" spans="1:47" ht="15" customHeight="1">
      <c r="A42" s="101" t="s">
        <v>231</v>
      </c>
      <c r="B42" s="108">
        <v>0</v>
      </c>
      <c r="C42" s="108">
        <v>2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08">
        <v>0</v>
      </c>
      <c r="J42" s="108">
        <v>0</v>
      </c>
      <c r="K42" s="108">
        <v>0</v>
      </c>
      <c r="L42" s="108">
        <v>2</v>
      </c>
      <c r="M42" s="108">
        <v>1</v>
      </c>
      <c r="N42" s="108">
        <v>1</v>
      </c>
      <c r="O42" s="108">
        <v>2</v>
      </c>
      <c r="P42" s="108">
        <v>0</v>
      </c>
      <c r="Q42" s="108">
        <v>0</v>
      </c>
      <c r="R42" s="108">
        <v>1</v>
      </c>
      <c r="S42" s="108">
        <v>1</v>
      </c>
      <c r="T42" s="108">
        <v>0</v>
      </c>
      <c r="U42" s="108">
        <v>0</v>
      </c>
      <c r="V42" s="108">
        <v>3</v>
      </c>
      <c r="W42" s="108">
        <v>0</v>
      </c>
      <c r="X42" s="108">
        <v>0</v>
      </c>
      <c r="Y42" s="108">
        <v>0</v>
      </c>
      <c r="Z42" s="108">
        <v>3</v>
      </c>
      <c r="AA42" s="108">
        <v>1</v>
      </c>
      <c r="AB42" s="108">
        <v>0</v>
      </c>
      <c r="AC42" s="108">
        <v>0</v>
      </c>
      <c r="AD42" s="108">
        <v>2</v>
      </c>
      <c r="AE42" s="108">
        <v>3</v>
      </c>
      <c r="AF42" s="108">
        <v>1</v>
      </c>
      <c r="AG42" s="108">
        <v>0</v>
      </c>
      <c r="AH42" s="108">
        <v>1</v>
      </c>
      <c r="AI42" s="108">
        <v>1</v>
      </c>
      <c r="AJ42" s="108">
        <v>0</v>
      </c>
      <c r="AK42" s="108">
        <v>2</v>
      </c>
      <c r="AL42" s="108">
        <v>0</v>
      </c>
      <c r="AM42" s="108">
        <v>3</v>
      </c>
      <c r="AN42" s="108">
        <v>0</v>
      </c>
      <c r="AO42" s="108">
        <v>0</v>
      </c>
      <c r="AP42" s="108">
        <v>1</v>
      </c>
      <c r="AQ42" s="108">
        <v>2</v>
      </c>
      <c r="AR42" s="108">
        <v>0</v>
      </c>
      <c r="AS42" s="108">
        <v>0</v>
      </c>
      <c r="AT42" s="108">
        <f>SUM(B42:AS42)</f>
        <v>33</v>
      </c>
      <c r="AU42" s="109">
        <v>0.08</v>
      </c>
    </row>
    <row r="43" spans="1:47" ht="15" customHeight="1">
      <c r="A43" s="101" t="s">
        <v>232</v>
      </c>
      <c r="B43" s="108">
        <v>0</v>
      </c>
      <c r="C43" s="108">
        <v>1</v>
      </c>
      <c r="D43" s="108">
        <v>0</v>
      </c>
      <c r="E43" s="108">
        <v>0</v>
      </c>
      <c r="F43" s="108">
        <v>1</v>
      </c>
      <c r="G43" s="108">
        <v>1</v>
      </c>
      <c r="H43" s="108">
        <v>0</v>
      </c>
      <c r="I43" s="108">
        <v>0</v>
      </c>
      <c r="J43" s="108">
        <v>0</v>
      </c>
      <c r="K43" s="108">
        <v>0</v>
      </c>
      <c r="L43" s="108">
        <v>2</v>
      </c>
      <c r="M43" s="108">
        <v>1</v>
      </c>
      <c r="N43" s="108">
        <v>1</v>
      </c>
      <c r="O43" s="108">
        <v>2</v>
      </c>
      <c r="P43" s="108">
        <v>0</v>
      </c>
      <c r="Q43" s="108">
        <v>1</v>
      </c>
      <c r="R43" s="108">
        <v>1</v>
      </c>
      <c r="S43" s="108">
        <v>1</v>
      </c>
      <c r="T43" s="108">
        <v>0</v>
      </c>
      <c r="U43" s="108">
        <v>1</v>
      </c>
      <c r="V43" s="108">
        <v>2</v>
      </c>
      <c r="W43" s="108">
        <v>0</v>
      </c>
      <c r="X43" s="108">
        <v>0</v>
      </c>
      <c r="Y43" s="108">
        <v>0</v>
      </c>
      <c r="Z43" s="108">
        <v>2</v>
      </c>
      <c r="AA43" s="108">
        <v>1</v>
      </c>
      <c r="AB43" s="108">
        <v>0</v>
      </c>
      <c r="AC43" s="108">
        <v>0</v>
      </c>
      <c r="AD43" s="108">
        <v>1</v>
      </c>
      <c r="AE43" s="108">
        <v>3</v>
      </c>
      <c r="AF43" s="108">
        <v>1</v>
      </c>
      <c r="AG43" s="108">
        <v>0</v>
      </c>
      <c r="AH43" s="108">
        <v>1</v>
      </c>
      <c r="AI43" s="108">
        <v>3</v>
      </c>
      <c r="AJ43" s="108">
        <v>0</v>
      </c>
      <c r="AK43" s="108">
        <v>1</v>
      </c>
      <c r="AL43" s="108">
        <v>0</v>
      </c>
      <c r="AM43" s="108">
        <v>2</v>
      </c>
      <c r="AN43" s="108">
        <v>0</v>
      </c>
      <c r="AO43" s="108">
        <v>0</v>
      </c>
      <c r="AP43" s="108">
        <v>1</v>
      </c>
      <c r="AQ43" s="108">
        <v>2</v>
      </c>
      <c r="AR43" s="108">
        <v>0</v>
      </c>
      <c r="AS43" s="108">
        <v>0</v>
      </c>
      <c r="AT43" s="108">
        <f>SUM(B43:AS43)</f>
        <v>33</v>
      </c>
      <c r="AU43" s="109">
        <v>0.08</v>
      </c>
    </row>
    <row r="44" spans="1:47" ht="19.5" customHeight="1">
      <c r="A44" s="100" t="s">
        <v>229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1"/>
    </row>
    <row r="45" spans="1:47" ht="15" customHeight="1">
      <c r="A45" s="99" t="s">
        <v>234</v>
      </c>
      <c r="B45" s="108">
        <v>0</v>
      </c>
      <c r="C45" s="108">
        <v>0</v>
      </c>
      <c r="D45" s="108">
        <v>2</v>
      </c>
      <c r="E45" s="108">
        <v>2</v>
      </c>
      <c r="F45" s="108">
        <v>0</v>
      </c>
      <c r="G45" s="108">
        <v>3</v>
      </c>
      <c r="H45" s="108">
        <v>1</v>
      </c>
      <c r="I45" s="108">
        <v>3</v>
      </c>
      <c r="J45" s="108">
        <v>1</v>
      </c>
      <c r="K45" s="108">
        <v>1</v>
      </c>
      <c r="L45" s="108">
        <v>3</v>
      </c>
      <c r="M45" s="108">
        <v>1</v>
      </c>
      <c r="N45" s="108">
        <v>0</v>
      </c>
      <c r="O45" s="108">
        <v>0</v>
      </c>
      <c r="P45" s="108">
        <v>3</v>
      </c>
      <c r="Q45" s="108">
        <v>1</v>
      </c>
      <c r="R45" s="108">
        <v>0</v>
      </c>
      <c r="S45" s="108">
        <v>6</v>
      </c>
      <c r="T45" s="108">
        <v>2</v>
      </c>
      <c r="U45" s="108">
        <v>3</v>
      </c>
      <c r="V45" s="108">
        <v>0</v>
      </c>
      <c r="W45" s="108">
        <v>0</v>
      </c>
      <c r="X45" s="108">
        <v>2</v>
      </c>
      <c r="Y45" s="108">
        <v>5</v>
      </c>
      <c r="Z45" s="108">
        <v>1</v>
      </c>
      <c r="AA45" s="108">
        <v>4</v>
      </c>
      <c r="AB45" s="108">
        <v>3</v>
      </c>
      <c r="AC45" s="108">
        <v>2</v>
      </c>
      <c r="AD45" s="108">
        <v>3</v>
      </c>
      <c r="AE45" s="108">
        <v>2</v>
      </c>
      <c r="AF45" s="108">
        <v>1</v>
      </c>
      <c r="AG45" s="108">
        <v>0</v>
      </c>
      <c r="AH45" s="108">
        <v>0</v>
      </c>
      <c r="AI45" s="108">
        <v>3</v>
      </c>
      <c r="AJ45" s="108">
        <v>4</v>
      </c>
      <c r="AK45" s="108">
        <v>1</v>
      </c>
      <c r="AL45" s="108">
        <v>0</v>
      </c>
      <c r="AM45" s="108">
        <v>3</v>
      </c>
      <c r="AN45" s="108">
        <v>1</v>
      </c>
      <c r="AO45" s="108">
        <v>3</v>
      </c>
      <c r="AP45" s="108">
        <v>2</v>
      </c>
      <c r="AQ45" s="108">
        <v>1</v>
      </c>
      <c r="AR45" s="108">
        <v>0</v>
      </c>
      <c r="AS45" s="108">
        <v>2</v>
      </c>
      <c r="AT45" s="108">
        <f>SUM(B45:AS45)</f>
        <v>75</v>
      </c>
      <c r="AU45" s="109">
        <v>0.17</v>
      </c>
    </row>
    <row r="46" spans="1:47" ht="15" customHeight="1">
      <c r="A46" s="99" t="s">
        <v>235</v>
      </c>
      <c r="B46" s="108">
        <v>0</v>
      </c>
      <c r="C46" s="108">
        <v>2</v>
      </c>
      <c r="D46" s="108">
        <v>1</v>
      </c>
      <c r="E46" s="108">
        <v>3</v>
      </c>
      <c r="F46" s="108">
        <v>0</v>
      </c>
      <c r="G46" s="108">
        <v>2</v>
      </c>
      <c r="H46" s="108">
        <v>0</v>
      </c>
      <c r="I46" s="108">
        <v>3</v>
      </c>
      <c r="J46" s="108">
        <v>0</v>
      </c>
      <c r="K46" s="108">
        <v>1</v>
      </c>
      <c r="L46" s="108">
        <v>1</v>
      </c>
      <c r="M46" s="108">
        <v>1</v>
      </c>
      <c r="N46" s="108">
        <v>0</v>
      </c>
      <c r="O46" s="108">
        <v>1</v>
      </c>
      <c r="P46" s="108">
        <v>1</v>
      </c>
      <c r="Q46" s="108">
        <v>2</v>
      </c>
      <c r="R46" s="108">
        <v>0</v>
      </c>
      <c r="S46" s="108">
        <v>1</v>
      </c>
      <c r="T46" s="108">
        <v>3</v>
      </c>
      <c r="U46" s="108">
        <v>1</v>
      </c>
      <c r="V46" s="108">
        <v>0</v>
      </c>
      <c r="W46" s="108">
        <v>0</v>
      </c>
      <c r="X46" s="108">
        <v>1</v>
      </c>
      <c r="Y46" s="108">
        <v>0</v>
      </c>
      <c r="Z46" s="108">
        <v>1</v>
      </c>
      <c r="AA46" s="108">
        <v>2</v>
      </c>
      <c r="AB46" s="108">
        <v>0</v>
      </c>
      <c r="AC46" s="108">
        <v>1</v>
      </c>
      <c r="AD46" s="108">
        <v>0</v>
      </c>
      <c r="AE46" s="108">
        <v>2</v>
      </c>
      <c r="AF46" s="108">
        <v>0</v>
      </c>
      <c r="AG46" s="108">
        <v>1</v>
      </c>
      <c r="AH46" s="108">
        <v>0</v>
      </c>
      <c r="AI46" s="108">
        <v>2</v>
      </c>
      <c r="AJ46" s="108">
        <v>1</v>
      </c>
      <c r="AK46" s="108">
        <v>0</v>
      </c>
      <c r="AL46" s="108">
        <v>0</v>
      </c>
      <c r="AM46" s="108">
        <v>1</v>
      </c>
      <c r="AN46" s="108">
        <v>0</v>
      </c>
      <c r="AO46" s="108">
        <v>1</v>
      </c>
      <c r="AP46" s="108">
        <v>2</v>
      </c>
      <c r="AQ46" s="108">
        <v>1</v>
      </c>
      <c r="AR46" s="108">
        <v>0</v>
      </c>
      <c r="AS46" s="108">
        <v>2</v>
      </c>
      <c r="AT46" s="108">
        <f>SUM(B46:AS46)</f>
        <v>41</v>
      </c>
      <c r="AU46" s="109">
        <v>0.1</v>
      </c>
    </row>
    <row r="47" spans="1:47" ht="15" customHeight="1">
      <c r="A47" s="99" t="s">
        <v>236</v>
      </c>
      <c r="B47" s="108">
        <v>0</v>
      </c>
      <c r="C47" s="108">
        <v>1</v>
      </c>
      <c r="D47" s="108">
        <v>0</v>
      </c>
      <c r="E47" s="108">
        <v>1</v>
      </c>
      <c r="F47" s="108">
        <v>0</v>
      </c>
      <c r="G47" s="108">
        <v>2</v>
      </c>
      <c r="H47" s="108">
        <v>0</v>
      </c>
      <c r="I47" s="108">
        <v>3</v>
      </c>
      <c r="J47" s="108">
        <v>0</v>
      </c>
      <c r="K47" s="108">
        <v>1</v>
      </c>
      <c r="L47" s="108">
        <v>1</v>
      </c>
      <c r="M47" s="108">
        <v>0</v>
      </c>
      <c r="N47" s="108">
        <v>1</v>
      </c>
      <c r="O47" s="108">
        <v>0</v>
      </c>
      <c r="P47" s="108">
        <v>1</v>
      </c>
      <c r="Q47" s="108">
        <v>2</v>
      </c>
      <c r="R47" s="108">
        <v>0</v>
      </c>
      <c r="S47" s="108">
        <v>1</v>
      </c>
      <c r="T47" s="108">
        <v>2</v>
      </c>
      <c r="U47" s="108">
        <v>1</v>
      </c>
      <c r="V47" s="108">
        <v>0</v>
      </c>
      <c r="W47" s="108">
        <v>0</v>
      </c>
      <c r="X47" s="108">
        <v>0</v>
      </c>
      <c r="Y47" s="108">
        <v>0</v>
      </c>
      <c r="Z47" s="108">
        <v>1</v>
      </c>
      <c r="AA47" s="108">
        <v>2</v>
      </c>
      <c r="AB47" s="108">
        <v>0</v>
      </c>
      <c r="AC47" s="108">
        <v>1</v>
      </c>
      <c r="AD47" s="108">
        <v>0</v>
      </c>
      <c r="AE47" s="108">
        <v>1</v>
      </c>
      <c r="AF47" s="108">
        <v>0</v>
      </c>
      <c r="AG47" s="108">
        <v>0</v>
      </c>
      <c r="AH47" s="108">
        <v>1</v>
      </c>
      <c r="AI47" s="108">
        <v>2</v>
      </c>
      <c r="AJ47" s="108">
        <v>1</v>
      </c>
      <c r="AK47" s="108">
        <v>0</v>
      </c>
      <c r="AL47" s="108">
        <v>0</v>
      </c>
      <c r="AM47" s="108">
        <v>1</v>
      </c>
      <c r="AN47" s="108">
        <v>0</v>
      </c>
      <c r="AO47" s="108">
        <v>1</v>
      </c>
      <c r="AP47" s="108">
        <v>1</v>
      </c>
      <c r="AQ47" s="108">
        <v>1</v>
      </c>
      <c r="AR47" s="108">
        <v>0</v>
      </c>
      <c r="AS47" s="108">
        <v>2</v>
      </c>
      <c r="AT47" s="108">
        <f>SUM(B47:AS47)</f>
        <v>32</v>
      </c>
      <c r="AU47" s="109">
        <v>0.07</v>
      </c>
    </row>
    <row r="48" spans="1:47" ht="24.75" customHeight="1">
      <c r="A48" s="100" t="s">
        <v>233</v>
      </c>
      <c r="B48" s="110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1"/>
    </row>
    <row r="49" spans="1:47" ht="16.5" customHeight="1">
      <c r="A49" s="99" t="s">
        <v>238</v>
      </c>
      <c r="B49" s="108">
        <v>0</v>
      </c>
      <c r="C49" s="108">
        <v>2</v>
      </c>
      <c r="D49" s="108">
        <v>0</v>
      </c>
      <c r="E49" s="108">
        <v>1</v>
      </c>
      <c r="F49" s="108">
        <v>1</v>
      </c>
      <c r="G49" s="108">
        <v>3</v>
      </c>
      <c r="H49" s="108">
        <v>1</v>
      </c>
      <c r="I49" s="108">
        <v>3</v>
      </c>
      <c r="J49" s="108">
        <v>1</v>
      </c>
      <c r="K49" s="108">
        <v>2</v>
      </c>
      <c r="L49" s="108">
        <v>5</v>
      </c>
      <c r="M49" s="108">
        <v>1</v>
      </c>
      <c r="N49" s="108">
        <v>5</v>
      </c>
      <c r="O49" s="108">
        <v>10</v>
      </c>
      <c r="P49" s="108">
        <v>3</v>
      </c>
      <c r="Q49" s="108">
        <v>3</v>
      </c>
      <c r="R49" s="108">
        <v>1</v>
      </c>
      <c r="S49" s="108">
        <v>3</v>
      </c>
      <c r="T49" s="108">
        <v>0</v>
      </c>
      <c r="U49" s="108">
        <v>2</v>
      </c>
      <c r="V49" s="108">
        <v>8</v>
      </c>
      <c r="W49" s="108">
        <v>5</v>
      </c>
      <c r="X49" s="108">
        <v>2</v>
      </c>
      <c r="Y49" s="108">
        <v>4</v>
      </c>
      <c r="Z49" s="108">
        <v>0</v>
      </c>
      <c r="AA49" s="108">
        <v>2</v>
      </c>
      <c r="AB49" s="108">
        <v>3</v>
      </c>
      <c r="AC49" s="108">
        <v>2</v>
      </c>
      <c r="AD49" s="108">
        <v>2</v>
      </c>
      <c r="AE49" s="108">
        <v>2</v>
      </c>
      <c r="AF49" s="108">
        <v>1</v>
      </c>
      <c r="AG49" s="108">
        <v>1</v>
      </c>
      <c r="AH49" s="108">
        <v>1</v>
      </c>
      <c r="AI49" s="108">
        <v>4</v>
      </c>
      <c r="AJ49" s="108">
        <v>2</v>
      </c>
      <c r="AK49" s="108">
        <v>0</v>
      </c>
      <c r="AL49" s="108">
        <v>2</v>
      </c>
      <c r="AM49" s="108">
        <v>0</v>
      </c>
      <c r="AN49" s="108">
        <v>2</v>
      </c>
      <c r="AO49" s="108">
        <v>3</v>
      </c>
      <c r="AP49" s="108">
        <v>7</v>
      </c>
      <c r="AQ49" s="108">
        <v>3</v>
      </c>
      <c r="AR49" s="108">
        <v>5</v>
      </c>
      <c r="AS49" s="108">
        <v>3</v>
      </c>
      <c r="AT49" s="108">
        <f>SUM(B49:AS49)</f>
        <v>111</v>
      </c>
      <c r="AU49" s="109">
        <v>0.26</v>
      </c>
    </row>
    <row r="50" spans="1:47" ht="27.75" customHeight="1">
      <c r="A50" s="100" t="s">
        <v>237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1"/>
    </row>
    <row r="51" spans="1:47" ht="15" customHeight="1">
      <c r="A51" s="99" t="s">
        <v>240</v>
      </c>
      <c r="B51" s="108">
        <v>20</v>
      </c>
      <c r="C51" s="108">
        <v>28</v>
      </c>
      <c r="D51" s="108">
        <v>23</v>
      </c>
      <c r="E51" s="108">
        <v>22</v>
      </c>
      <c r="F51" s="108">
        <v>66</v>
      </c>
      <c r="G51" s="108">
        <v>60</v>
      </c>
      <c r="H51" s="108">
        <v>17</v>
      </c>
      <c r="I51" s="108">
        <v>15</v>
      </c>
      <c r="J51" s="108">
        <v>40</v>
      </c>
      <c r="K51" s="108">
        <v>29</v>
      </c>
      <c r="L51" s="108">
        <v>44</v>
      </c>
      <c r="M51" s="108">
        <v>47</v>
      </c>
      <c r="N51" s="108">
        <v>36</v>
      </c>
      <c r="O51" s="108">
        <v>70</v>
      </c>
      <c r="P51" s="108">
        <v>57</v>
      </c>
      <c r="Q51" s="108">
        <v>43</v>
      </c>
      <c r="R51" s="108">
        <v>61</v>
      </c>
      <c r="S51" s="108">
        <v>68</v>
      </c>
      <c r="T51" s="108">
        <v>36</v>
      </c>
      <c r="U51" s="108">
        <v>36</v>
      </c>
      <c r="V51" s="108">
        <v>59</v>
      </c>
      <c r="W51" s="108">
        <v>61</v>
      </c>
      <c r="X51" s="108">
        <v>42</v>
      </c>
      <c r="Y51" s="108">
        <v>48</v>
      </c>
      <c r="Z51" s="108">
        <v>41</v>
      </c>
      <c r="AA51" s="108">
        <v>51</v>
      </c>
      <c r="AB51" s="108">
        <v>38</v>
      </c>
      <c r="AC51" s="108">
        <v>31</v>
      </c>
      <c r="AD51" s="108">
        <v>45</v>
      </c>
      <c r="AE51" s="108">
        <v>38</v>
      </c>
      <c r="AF51" s="108">
        <v>45</v>
      </c>
      <c r="AG51" s="108">
        <v>47</v>
      </c>
      <c r="AH51" s="108">
        <v>44</v>
      </c>
      <c r="AI51" s="108">
        <v>64</v>
      </c>
      <c r="AJ51" s="108">
        <v>59</v>
      </c>
      <c r="AK51" s="108">
        <v>43</v>
      </c>
      <c r="AL51" s="108">
        <v>59</v>
      </c>
      <c r="AM51" s="108">
        <v>70</v>
      </c>
      <c r="AN51" s="108">
        <v>55</v>
      </c>
      <c r="AO51" s="108">
        <v>60</v>
      </c>
      <c r="AP51" s="108">
        <v>61</v>
      </c>
      <c r="AQ51" s="108">
        <v>73</v>
      </c>
      <c r="AR51" s="108">
        <v>48</v>
      </c>
      <c r="AS51" s="108">
        <v>33</v>
      </c>
      <c r="AT51" s="108">
        <f>SUM(B51:AS51)</f>
        <v>2033</v>
      </c>
      <c r="AU51" s="109">
        <v>4.74</v>
      </c>
    </row>
    <row r="52" spans="1:47" ht="15" customHeight="1">
      <c r="A52" s="99" t="s">
        <v>241</v>
      </c>
      <c r="B52" s="108">
        <v>19</v>
      </c>
      <c r="C52" s="108">
        <v>26</v>
      </c>
      <c r="D52" s="108">
        <v>21</v>
      </c>
      <c r="E52" s="108">
        <v>21</v>
      </c>
      <c r="F52" s="108">
        <v>63</v>
      </c>
      <c r="G52" s="108">
        <v>53</v>
      </c>
      <c r="H52" s="108">
        <v>15</v>
      </c>
      <c r="I52" s="108">
        <v>13</v>
      </c>
      <c r="J52" s="108">
        <v>34</v>
      </c>
      <c r="K52" s="108">
        <v>22</v>
      </c>
      <c r="L52" s="108">
        <v>37</v>
      </c>
      <c r="M52" s="108">
        <v>45</v>
      </c>
      <c r="N52" s="108">
        <v>33</v>
      </c>
      <c r="O52" s="108">
        <v>64</v>
      </c>
      <c r="P52" s="108">
        <v>55</v>
      </c>
      <c r="Q52" s="108">
        <v>36</v>
      </c>
      <c r="R52" s="108">
        <v>50</v>
      </c>
      <c r="S52" s="108">
        <v>57</v>
      </c>
      <c r="T52" s="108">
        <v>34</v>
      </c>
      <c r="U52" s="108">
        <v>34</v>
      </c>
      <c r="V52" s="108">
        <v>48</v>
      </c>
      <c r="W52" s="108">
        <v>58</v>
      </c>
      <c r="X52" s="108">
        <v>37</v>
      </c>
      <c r="Y52" s="108">
        <v>37</v>
      </c>
      <c r="Z52" s="108">
        <v>38</v>
      </c>
      <c r="AA52" s="108">
        <v>42</v>
      </c>
      <c r="AB52" s="108">
        <v>32</v>
      </c>
      <c r="AC52" s="108">
        <v>27</v>
      </c>
      <c r="AD52" s="108">
        <v>45</v>
      </c>
      <c r="AE52" s="108">
        <v>33</v>
      </c>
      <c r="AF52" s="108">
        <v>43</v>
      </c>
      <c r="AG52" s="108">
        <v>39</v>
      </c>
      <c r="AH52" s="108">
        <v>42</v>
      </c>
      <c r="AI52" s="108">
        <v>56</v>
      </c>
      <c r="AJ52" s="108">
        <v>53</v>
      </c>
      <c r="AK52" s="108">
        <v>43</v>
      </c>
      <c r="AL52" s="108">
        <v>52</v>
      </c>
      <c r="AM52" s="108">
        <v>58</v>
      </c>
      <c r="AN52" s="108">
        <v>48</v>
      </c>
      <c r="AO52" s="108">
        <v>57</v>
      </c>
      <c r="AP52" s="108">
        <v>52</v>
      </c>
      <c r="AQ52" s="108">
        <v>67</v>
      </c>
      <c r="AR52" s="108">
        <v>39</v>
      </c>
      <c r="AS52" s="108">
        <v>32</v>
      </c>
      <c r="AT52" s="108">
        <f>SUM(B52:AS52)</f>
        <v>1810</v>
      </c>
      <c r="AU52" s="109">
        <v>4.28</v>
      </c>
    </row>
    <row r="53" spans="1:47" ht="15" customHeight="1">
      <c r="A53" s="99" t="s">
        <v>242</v>
      </c>
      <c r="B53" s="108">
        <v>19</v>
      </c>
      <c r="C53" s="108">
        <v>28</v>
      </c>
      <c r="D53" s="108">
        <v>19</v>
      </c>
      <c r="E53" s="108">
        <v>23</v>
      </c>
      <c r="F53" s="108">
        <v>63</v>
      </c>
      <c r="G53" s="108">
        <v>55</v>
      </c>
      <c r="H53" s="108">
        <v>14</v>
      </c>
      <c r="I53" s="108">
        <v>13</v>
      </c>
      <c r="J53" s="108">
        <v>38</v>
      </c>
      <c r="K53" s="108">
        <v>22</v>
      </c>
      <c r="L53" s="108">
        <v>37</v>
      </c>
      <c r="M53" s="108">
        <v>44</v>
      </c>
      <c r="N53" s="108">
        <v>37</v>
      </c>
      <c r="O53" s="108">
        <v>66</v>
      </c>
      <c r="P53" s="108">
        <v>56</v>
      </c>
      <c r="Q53" s="108">
        <v>43</v>
      </c>
      <c r="R53" s="108">
        <v>51</v>
      </c>
      <c r="S53" s="108">
        <v>59</v>
      </c>
      <c r="T53" s="108">
        <v>34</v>
      </c>
      <c r="U53" s="108">
        <v>30</v>
      </c>
      <c r="V53" s="108">
        <v>50</v>
      </c>
      <c r="W53" s="108">
        <v>60</v>
      </c>
      <c r="X53" s="108">
        <v>37</v>
      </c>
      <c r="Y53" s="108">
        <v>38</v>
      </c>
      <c r="Z53" s="108">
        <v>36</v>
      </c>
      <c r="AA53" s="108">
        <v>44</v>
      </c>
      <c r="AB53" s="108">
        <v>33</v>
      </c>
      <c r="AC53" s="108">
        <v>29</v>
      </c>
      <c r="AD53" s="108">
        <v>42</v>
      </c>
      <c r="AE53" s="108">
        <v>31</v>
      </c>
      <c r="AF53" s="108">
        <v>41</v>
      </c>
      <c r="AG53" s="108">
        <v>38</v>
      </c>
      <c r="AH53" s="108">
        <v>40</v>
      </c>
      <c r="AI53" s="108">
        <v>61</v>
      </c>
      <c r="AJ53" s="108">
        <v>52</v>
      </c>
      <c r="AK53" s="108">
        <v>46</v>
      </c>
      <c r="AL53" s="108">
        <v>54</v>
      </c>
      <c r="AM53" s="108">
        <v>58</v>
      </c>
      <c r="AN53" s="108">
        <v>48</v>
      </c>
      <c r="AO53" s="108">
        <v>59</v>
      </c>
      <c r="AP53" s="108">
        <v>52</v>
      </c>
      <c r="AQ53" s="108">
        <v>67</v>
      </c>
      <c r="AR53" s="108">
        <v>38</v>
      </c>
      <c r="AS53" s="108">
        <v>31</v>
      </c>
      <c r="AT53" s="108">
        <f>SUM(B53:AS53)</f>
        <v>1836</v>
      </c>
      <c r="AU53" s="109">
        <v>4.22</v>
      </c>
    </row>
    <row r="54" spans="1:47" ht="23.25" customHeight="1">
      <c r="A54" s="100" t="s">
        <v>239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110"/>
      <c r="AT54" s="110"/>
      <c r="AU54" s="111"/>
    </row>
    <row r="55" spans="1:47" ht="15" customHeight="1">
      <c r="A55" s="102" t="s">
        <v>195</v>
      </c>
      <c r="B55" s="116">
        <v>0</v>
      </c>
      <c r="C55" s="116">
        <v>6</v>
      </c>
      <c r="D55" s="116">
        <v>7</v>
      </c>
      <c r="E55" s="116">
        <v>16</v>
      </c>
      <c r="F55" s="116">
        <v>3</v>
      </c>
      <c r="G55" s="116">
        <v>12</v>
      </c>
      <c r="H55" s="116">
        <v>4</v>
      </c>
      <c r="I55" s="116">
        <v>15</v>
      </c>
      <c r="J55" s="116">
        <v>8</v>
      </c>
      <c r="K55" s="116">
        <v>11</v>
      </c>
      <c r="L55" s="116">
        <v>3</v>
      </c>
      <c r="M55" s="116">
        <v>0</v>
      </c>
      <c r="N55" s="116">
        <v>11</v>
      </c>
      <c r="O55" s="116">
        <v>6</v>
      </c>
      <c r="P55" s="116">
        <v>16</v>
      </c>
      <c r="Q55" s="116">
        <v>17</v>
      </c>
      <c r="R55" s="116">
        <v>8</v>
      </c>
      <c r="S55" s="116">
        <v>14</v>
      </c>
      <c r="T55" s="116">
        <v>5</v>
      </c>
      <c r="U55" s="116">
        <v>12</v>
      </c>
      <c r="V55" s="116">
        <v>28</v>
      </c>
      <c r="W55" s="116">
        <v>17</v>
      </c>
      <c r="X55" s="116">
        <v>14</v>
      </c>
      <c r="Y55" s="116">
        <v>12</v>
      </c>
      <c r="Z55" s="116">
        <v>23</v>
      </c>
      <c r="AA55" s="116">
        <v>13</v>
      </c>
      <c r="AB55" s="116">
        <v>24</v>
      </c>
      <c r="AC55" s="116">
        <v>14</v>
      </c>
      <c r="AD55" s="116">
        <v>13</v>
      </c>
      <c r="AE55" s="116">
        <v>29</v>
      </c>
      <c r="AF55" s="116">
        <v>7</v>
      </c>
      <c r="AG55" s="116">
        <v>13</v>
      </c>
      <c r="AH55" s="116">
        <v>14</v>
      </c>
      <c r="AI55" s="117">
        <v>16</v>
      </c>
      <c r="AJ55" s="116">
        <v>13</v>
      </c>
      <c r="AK55" s="116">
        <v>15</v>
      </c>
      <c r="AL55" s="116">
        <v>8</v>
      </c>
      <c r="AM55" s="116">
        <v>26</v>
      </c>
      <c r="AN55" s="116">
        <v>14</v>
      </c>
      <c r="AO55" s="116">
        <v>14</v>
      </c>
      <c r="AP55" s="116">
        <v>8</v>
      </c>
      <c r="AQ55" s="117">
        <v>7</v>
      </c>
      <c r="AR55" s="116">
        <v>10</v>
      </c>
      <c r="AS55" s="117">
        <v>10</v>
      </c>
      <c r="AT55" s="108">
        <f>SUM(B55:AS55)</f>
        <v>536</v>
      </c>
      <c r="AU55" s="112">
        <v>3.41</v>
      </c>
    </row>
    <row r="56" spans="1:47" ht="15" customHeight="1">
      <c r="A56" s="101" t="s">
        <v>196</v>
      </c>
      <c r="B56" s="108">
        <v>0</v>
      </c>
      <c r="C56" s="108">
        <v>13</v>
      </c>
      <c r="D56" s="108">
        <v>7</v>
      </c>
      <c r="E56" s="108">
        <v>14</v>
      </c>
      <c r="F56" s="108">
        <v>3</v>
      </c>
      <c r="G56" s="108">
        <v>9</v>
      </c>
      <c r="H56" s="108">
        <v>17</v>
      </c>
      <c r="I56" s="108">
        <v>13</v>
      </c>
      <c r="J56" s="108">
        <v>16</v>
      </c>
      <c r="K56" s="108">
        <v>24</v>
      </c>
      <c r="L56" s="108">
        <v>15</v>
      </c>
      <c r="M56" s="108">
        <v>5</v>
      </c>
      <c r="N56" s="108">
        <v>8</v>
      </c>
      <c r="O56" s="108">
        <v>22</v>
      </c>
      <c r="P56" s="108">
        <v>12</v>
      </c>
      <c r="Q56" s="108">
        <v>12</v>
      </c>
      <c r="R56" s="108">
        <v>11</v>
      </c>
      <c r="S56" s="108">
        <v>13</v>
      </c>
      <c r="T56" s="108">
        <v>6</v>
      </c>
      <c r="U56" s="108">
        <v>10</v>
      </c>
      <c r="V56" s="108">
        <v>20</v>
      </c>
      <c r="W56" s="108">
        <v>13</v>
      </c>
      <c r="X56" s="108">
        <v>16</v>
      </c>
      <c r="Y56" s="108">
        <v>17</v>
      </c>
      <c r="Z56" s="108">
        <v>10</v>
      </c>
      <c r="AA56" s="108">
        <v>9</v>
      </c>
      <c r="AB56" s="108">
        <v>7</v>
      </c>
      <c r="AC56" s="108">
        <v>11</v>
      </c>
      <c r="AD56" s="108">
        <v>10</v>
      </c>
      <c r="AE56" s="108">
        <v>9</v>
      </c>
      <c r="AF56" s="108">
        <v>13</v>
      </c>
      <c r="AG56" s="108">
        <v>13</v>
      </c>
      <c r="AH56" s="108">
        <v>2</v>
      </c>
      <c r="AI56" s="118">
        <v>14</v>
      </c>
      <c r="AJ56" s="108">
        <v>14</v>
      </c>
      <c r="AK56" s="108">
        <v>14</v>
      </c>
      <c r="AL56" s="108">
        <v>16</v>
      </c>
      <c r="AM56" s="108">
        <v>15</v>
      </c>
      <c r="AN56" s="108">
        <v>7</v>
      </c>
      <c r="AO56" s="108">
        <v>7</v>
      </c>
      <c r="AP56" s="108">
        <v>18</v>
      </c>
      <c r="AQ56" s="118">
        <v>14</v>
      </c>
      <c r="AR56" s="108">
        <v>4</v>
      </c>
      <c r="AS56" s="118">
        <v>9</v>
      </c>
      <c r="AT56" s="108">
        <f>SUM(B56:AS56)</f>
        <v>512</v>
      </c>
      <c r="AU56" s="109">
        <f>(100/AT57)*AT56</f>
        <v>3.1523211427164144</v>
      </c>
    </row>
    <row r="57" spans="1:47" ht="15" customHeight="1" thickBot="1">
      <c r="A57" s="103" t="s">
        <v>26</v>
      </c>
      <c r="B57" s="119">
        <v>294</v>
      </c>
      <c r="C57" s="119">
        <v>335</v>
      </c>
      <c r="D57" s="119">
        <v>299</v>
      </c>
      <c r="E57" s="119">
        <v>311</v>
      </c>
      <c r="F57" s="119">
        <v>389</v>
      </c>
      <c r="G57" s="119">
        <v>431</v>
      </c>
      <c r="H57" s="119">
        <v>246</v>
      </c>
      <c r="I57" s="119">
        <v>252</v>
      </c>
      <c r="J57" s="119">
        <v>335</v>
      </c>
      <c r="K57" s="119">
        <v>413</v>
      </c>
      <c r="L57" s="119">
        <v>330</v>
      </c>
      <c r="M57" s="119">
        <v>345</v>
      </c>
      <c r="N57" s="119">
        <v>336</v>
      </c>
      <c r="O57" s="119">
        <v>446</v>
      </c>
      <c r="P57" s="119">
        <v>477</v>
      </c>
      <c r="Q57" s="119">
        <v>375</v>
      </c>
      <c r="R57" s="119">
        <v>425</v>
      </c>
      <c r="S57" s="119">
        <v>437</v>
      </c>
      <c r="T57" s="119">
        <v>332</v>
      </c>
      <c r="U57" s="119">
        <v>387</v>
      </c>
      <c r="V57" s="119">
        <v>503</v>
      </c>
      <c r="W57" s="119">
        <v>479</v>
      </c>
      <c r="X57" s="119">
        <v>398</v>
      </c>
      <c r="Y57" s="119">
        <v>393</v>
      </c>
      <c r="Z57" s="119">
        <v>366</v>
      </c>
      <c r="AA57" s="119">
        <v>411</v>
      </c>
      <c r="AB57" s="119">
        <v>305</v>
      </c>
      <c r="AC57" s="119">
        <v>298</v>
      </c>
      <c r="AD57" s="119">
        <v>502</v>
      </c>
      <c r="AE57" s="119">
        <v>466</v>
      </c>
      <c r="AF57" s="119">
        <v>281</v>
      </c>
      <c r="AG57" s="119">
        <v>278</v>
      </c>
      <c r="AH57" s="119">
        <v>304</v>
      </c>
      <c r="AI57" s="119">
        <v>389</v>
      </c>
      <c r="AJ57" s="119">
        <v>403</v>
      </c>
      <c r="AK57" s="119">
        <v>382</v>
      </c>
      <c r="AL57" s="119">
        <v>410</v>
      </c>
      <c r="AM57" s="119">
        <v>477</v>
      </c>
      <c r="AN57" s="119">
        <v>307</v>
      </c>
      <c r="AO57" s="119">
        <v>347</v>
      </c>
      <c r="AP57" s="119">
        <v>414</v>
      </c>
      <c r="AQ57" s="119">
        <v>409</v>
      </c>
      <c r="AR57" s="119">
        <v>283</v>
      </c>
      <c r="AS57" s="119">
        <v>242</v>
      </c>
      <c r="AT57" s="116">
        <f>SUM(B57:AS57)</f>
        <v>16242</v>
      </c>
      <c r="AU57" s="109">
        <v>100</v>
      </c>
    </row>
    <row r="58" spans="1:47" ht="15" customHeight="1" thickBot="1">
      <c r="A58" s="104" t="s">
        <v>197</v>
      </c>
      <c r="B58" s="113">
        <f>100/450*294</f>
        <v>65.33333333333333</v>
      </c>
      <c r="C58" s="113">
        <f>100/508*335</f>
        <v>65.94488188976378</v>
      </c>
      <c r="D58" s="113">
        <f>100/444*299</f>
        <v>67.34234234234235</v>
      </c>
      <c r="E58" s="113">
        <f>100/486*311</f>
        <v>63.991769547325106</v>
      </c>
      <c r="F58" s="113">
        <f>100/602*389</f>
        <v>64.61794019933555</v>
      </c>
      <c r="G58" s="113">
        <f>100/648*431</f>
        <v>66.51234567901234</v>
      </c>
      <c r="H58" s="113">
        <f>100/398*246</f>
        <v>61.80904522613065</v>
      </c>
      <c r="I58" s="113">
        <f>100/389*252</f>
        <v>64.78149100257069</v>
      </c>
      <c r="J58" s="113">
        <f>100/636*335</f>
        <v>52.672955974842765</v>
      </c>
      <c r="K58" s="113">
        <f>100/697*413</f>
        <v>59.25394548063127</v>
      </c>
      <c r="L58" s="114">
        <f>100/519*330</f>
        <v>63.58381502890174</v>
      </c>
      <c r="M58" s="113">
        <f>100/561*345</f>
        <v>61.49732620320856</v>
      </c>
      <c r="N58" s="113">
        <f>100/541*336</f>
        <v>62.107208872458415</v>
      </c>
      <c r="O58" s="113">
        <f>100/792*446</f>
        <v>56.313131313131315</v>
      </c>
      <c r="P58" s="113">
        <f>100/773*477</f>
        <v>61.707632600258734</v>
      </c>
      <c r="Q58" s="113">
        <f>100/584*375</f>
        <v>64.21232876712328</v>
      </c>
      <c r="R58" s="113">
        <f>100/604*425</f>
        <v>70.36423841059603</v>
      </c>
      <c r="S58" s="113">
        <f>100/653*437</f>
        <v>66.9218989280245</v>
      </c>
      <c r="T58" s="113">
        <f>100/542*332</f>
        <v>61.25461254612546</v>
      </c>
      <c r="U58" s="113">
        <f>100/574*387</f>
        <v>67.42160278745645</v>
      </c>
      <c r="V58" s="113">
        <f>100/766*503</f>
        <v>65.66579634464753</v>
      </c>
      <c r="W58" s="113">
        <f>100/757*479</f>
        <v>63.27608982826949</v>
      </c>
      <c r="X58" s="113">
        <f>100/663*398</f>
        <v>60.030165912518854</v>
      </c>
      <c r="Y58" s="113">
        <f>100/615*393</f>
        <v>63.90243902439024</v>
      </c>
      <c r="Z58" s="113">
        <f>100/605*366</f>
        <v>60.49586776859504</v>
      </c>
      <c r="AA58" s="113">
        <f>100/614*411</f>
        <v>66.93811074918567</v>
      </c>
      <c r="AB58" s="113">
        <f>100/460*305</f>
        <v>66.30434782608695</v>
      </c>
      <c r="AC58" s="113">
        <f>100/457*298</f>
        <v>65.20787746170679</v>
      </c>
      <c r="AD58" s="113">
        <f>100/733*502</f>
        <v>68.4856753069577</v>
      </c>
      <c r="AE58" s="113">
        <f>(100/'[1]LOCALS participació'!H30)*AE57</f>
        <v>70.92846270928462</v>
      </c>
      <c r="AF58" s="113">
        <f>100/450*281</f>
        <v>62.44444444444444</v>
      </c>
      <c r="AG58" s="113">
        <f>100/420*278</f>
        <v>66.19047619047619</v>
      </c>
      <c r="AH58" s="113">
        <f>100/458*304</f>
        <v>66.37554585152839</v>
      </c>
      <c r="AI58" s="113">
        <f>100/576*389</f>
        <v>67.53472222222221</v>
      </c>
      <c r="AJ58" s="113">
        <f>100/572*403</f>
        <v>70.45454545454545</v>
      </c>
      <c r="AK58" s="113">
        <f>100/588*382</f>
        <v>64.96598639455782</v>
      </c>
      <c r="AL58" s="113">
        <f>100/623*410</f>
        <v>65.81059390048154</v>
      </c>
      <c r="AM58" s="113">
        <f>100/667*477</f>
        <v>71.51424287856072</v>
      </c>
      <c r="AN58" s="113">
        <f>100/442*307</f>
        <v>69.45701357466064</v>
      </c>
      <c r="AO58" s="113">
        <f>100/520*347</f>
        <v>66.73076923076924</v>
      </c>
      <c r="AP58" s="113">
        <f>100/681*414</f>
        <v>60.79295154185022</v>
      </c>
      <c r="AQ58" s="113">
        <f>100/661*409</f>
        <v>61.87594553706506</v>
      </c>
      <c r="AR58" s="113">
        <f>100/441*283</f>
        <v>64.17233560090703</v>
      </c>
      <c r="AS58" s="113">
        <f>100/366*242</f>
        <v>66.12021857923497</v>
      </c>
      <c r="AT58" s="113">
        <v>64.32</v>
      </c>
      <c r="AU58" s="113">
        <v>64.32</v>
      </c>
    </row>
    <row r="59" spans="2:47" ht="12.75">
      <c r="B59" s="41"/>
      <c r="AU59" s="84"/>
    </row>
    <row r="60" spans="2:47" ht="12.75">
      <c r="B60" s="41"/>
      <c r="AU60" s="84"/>
    </row>
    <row r="62" spans="2:6" ht="12.75">
      <c r="B62" s="105"/>
      <c r="F62" s="105"/>
    </row>
    <row r="63" spans="2:6" ht="12.75">
      <c r="B63" s="105"/>
      <c r="F63" s="105"/>
    </row>
    <row r="64" spans="2:6" ht="12.75">
      <c r="B64" s="105"/>
      <c r="F64" s="105"/>
    </row>
    <row r="65" spans="2:6" ht="12.75">
      <c r="B65" s="105"/>
      <c r="F65" s="105"/>
    </row>
    <row r="66" spans="2:6" ht="12.75">
      <c r="B66" s="105"/>
      <c r="F66" s="105"/>
    </row>
    <row r="67" spans="2:6" ht="12.75">
      <c r="B67" s="105"/>
      <c r="F67" s="105"/>
    </row>
    <row r="68" spans="2:6" ht="12.75">
      <c r="B68" s="105"/>
      <c r="F68" s="105"/>
    </row>
    <row r="69" spans="2:6" ht="12.75">
      <c r="B69" s="105"/>
      <c r="F69" s="105"/>
    </row>
    <row r="70" spans="2:6" ht="12.75">
      <c r="B70" s="105"/>
      <c r="F70" s="105"/>
    </row>
    <row r="71" spans="2:6" ht="12.75">
      <c r="B71" s="105"/>
      <c r="F71" s="105"/>
    </row>
    <row r="72" spans="2:6" ht="12.75">
      <c r="B72" s="105"/>
      <c r="F72" s="105"/>
    </row>
    <row r="73" spans="2:6" ht="12.75">
      <c r="B73" s="105"/>
      <c r="F73" s="105"/>
    </row>
    <row r="74" spans="2:6" ht="12.75">
      <c r="B74" s="105"/>
      <c r="F74" s="105"/>
    </row>
    <row r="75" spans="2:6" ht="12.75">
      <c r="B75" s="105"/>
      <c r="F75" s="105"/>
    </row>
    <row r="76" spans="2:6" ht="12.75">
      <c r="B76" s="105"/>
      <c r="F76" s="105"/>
    </row>
    <row r="77" spans="2:6" ht="12.75">
      <c r="B77" s="105"/>
      <c r="F77" s="105"/>
    </row>
    <row r="78" spans="2:6" ht="12.75">
      <c r="B78" s="105"/>
      <c r="F78" s="105"/>
    </row>
    <row r="79" spans="2:6" ht="12.75">
      <c r="B79" s="105"/>
      <c r="F79" s="105"/>
    </row>
    <row r="80" spans="2:6" ht="12.75">
      <c r="B80" s="105"/>
      <c r="F80" s="105"/>
    </row>
    <row r="81" spans="2:6" ht="12.75">
      <c r="B81" s="105"/>
      <c r="F81" s="105"/>
    </row>
    <row r="82" spans="2:6" ht="12.75">
      <c r="B82" s="105"/>
      <c r="F82" s="105"/>
    </row>
    <row r="83" spans="2:6" ht="12.75">
      <c r="B83" s="105"/>
      <c r="F83" s="105"/>
    </row>
    <row r="84" spans="2:6" ht="12.75">
      <c r="B84" s="105"/>
      <c r="F84" s="105"/>
    </row>
  </sheetData>
  <sheetProtection/>
  <mergeCells count="5">
    <mergeCell ref="AT6:AT8"/>
    <mergeCell ref="AU6:AU8"/>
    <mergeCell ref="A1:L1"/>
    <mergeCell ref="A3:M3"/>
    <mergeCell ref="A4:C4"/>
  </mergeCells>
  <printOptions/>
  <pageMargins left="0.75" right="0.75" top="1" bottom="1" header="0" footer="0"/>
  <pageSetup fitToHeight="1" fitToWidth="1"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 Anton Carreras</dc:creator>
  <cp:keywords/>
  <dc:description/>
  <cp:lastModifiedBy>jocavi</cp:lastModifiedBy>
  <cp:lastPrinted>2016-06-29T13:43:08Z</cp:lastPrinted>
  <dcterms:created xsi:type="dcterms:W3CDTF">2006-11-09T13:20:42Z</dcterms:created>
  <dcterms:modified xsi:type="dcterms:W3CDTF">2016-06-29T13:43:10Z</dcterms:modified>
  <cp:category/>
  <cp:version/>
  <cp:contentType/>
  <cp:contentStatus/>
</cp:coreProperties>
</file>